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435" tabRatio="981"/>
  </bookViews>
  <sheets>
    <sheet name="Portada" sheetId="1" r:id="rId1"/>
    <sheet name="Planeación" sheetId="3" r:id="rId2"/>
    <sheet name="Evaluacion" sheetId="5" r:id="rId3"/>
    <sheet name="Documental" sheetId="6" r:id="rId4"/>
    <sheet name="Juridica" sheetId="8" r:id="rId5"/>
    <sheet name="Talento Humano" sheetId="9" r:id="rId6"/>
    <sheet name="Tecnologia" sheetId="10" r:id="rId7"/>
    <sheet name="Financiera" sheetId="11" r:id="rId8"/>
    <sheet name="Bienes y Ser" sheetId="12" r:id="rId9"/>
    <sheet name="Adquisicion" sheetId="1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9" hidden="1">Adquisicion!#REF!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22" l="1"/>
  <c r="O25" i="22" s="1"/>
  <c r="H25" i="22"/>
  <c r="G25" i="22"/>
  <c r="F25" i="22"/>
  <c r="E25" i="22"/>
  <c r="D25" i="22"/>
  <c r="C25" i="22"/>
  <c r="B25" i="22"/>
  <c r="N24" i="22"/>
  <c r="O24" i="22" s="1"/>
  <c r="H24" i="22"/>
  <c r="G24" i="22"/>
  <c r="F24" i="22"/>
  <c r="E24" i="22"/>
  <c r="D24" i="22"/>
  <c r="C24" i="22"/>
  <c r="B24" i="22"/>
  <c r="N23" i="22"/>
  <c r="O23" i="22" s="1"/>
  <c r="H23" i="22"/>
  <c r="G23" i="22"/>
  <c r="F23" i="22"/>
  <c r="E23" i="22"/>
  <c r="D23" i="22"/>
  <c r="C23" i="22"/>
  <c r="B23" i="22"/>
  <c r="O22" i="22"/>
  <c r="N22" i="22"/>
  <c r="H22" i="22"/>
  <c r="G22" i="22"/>
  <c r="F22" i="22"/>
  <c r="E22" i="22"/>
  <c r="D22" i="22"/>
  <c r="C22" i="22"/>
  <c r="B22" i="22"/>
  <c r="O20" i="22"/>
  <c r="N20" i="22"/>
  <c r="H20" i="22"/>
  <c r="G20" i="22"/>
  <c r="F20" i="22"/>
  <c r="E20" i="22"/>
  <c r="D20" i="22"/>
  <c r="C20" i="22"/>
  <c r="B20" i="22"/>
  <c r="O19" i="22"/>
  <c r="N19" i="22"/>
  <c r="H19" i="22"/>
  <c r="G19" i="22"/>
  <c r="F19" i="22"/>
  <c r="E19" i="22"/>
  <c r="D19" i="22"/>
  <c r="C19" i="22"/>
  <c r="B19" i="22"/>
  <c r="O18" i="22"/>
  <c r="N18" i="22"/>
  <c r="H18" i="22"/>
  <c r="G18" i="22"/>
  <c r="F18" i="22"/>
  <c r="E18" i="22"/>
  <c r="D18" i="22"/>
  <c r="C18" i="22"/>
  <c r="B18" i="22"/>
  <c r="O17" i="22"/>
  <c r="N17" i="22"/>
  <c r="H17" i="22"/>
  <c r="G17" i="22"/>
  <c r="F17" i="22"/>
  <c r="E17" i="22"/>
  <c r="D17" i="22"/>
  <c r="C17" i="22"/>
  <c r="B17" i="22"/>
  <c r="N16" i="22"/>
  <c r="O16" i="22" s="1"/>
  <c r="H16" i="22"/>
  <c r="G16" i="22"/>
  <c r="F16" i="22"/>
  <c r="E16" i="22"/>
  <c r="D16" i="22"/>
  <c r="C16" i="22"/>
  <c r="B16" i="22"/>
  <c r="N15" i="22"/>
  <c r="O15" i="22" s="1"/>
  <c r="H15" i="22"/>
  <c r="G15" i="22"/>
  <c r="F15" i="22"/>
  <c r="E15" i="22"/>
  <c r="D15" i="22"/>
  <c r="C15" i="22"/>
  <c r="B15" i="22"/>
  <c r="N14" i="22"/>
  <c r="O14" i="22" s="1"/>
  <c r="H14" i="22"/>
  <c r="G14" i="22"/>
  <c r="F14" i="22"/>
  <c r="E14" i="22"/>
  <c r="D14" i="22"/>
  <c r="C14" i="22"/>
  <c r="B14" i="22"/>
  <c r="N13" i="22"/>
  <c r="O13" i="22" s="1"/>
  <c r="H13" i="22"/>
  <c r="G13" i="22"/>
  <c r="F13" i="22"/>
  <c r="E13" i="22"/>
  <c r="D13" i="22"/>
  <c r="C13" i="22"/>
  <c r="B13" i="22"/>
  <c r="N12" i="22"/>
  <c r="O12" i="22" s="1"/>
  <c r="H12" i="22"/>
  <c r="G12" i="22"/>
  <c r="F12" i="22"/>
  <c r="E12" i="22"/>
  <c r="D12" i="22"/>
  <c r="C12" i="22"/>
  <c r="B12" i="22"/>
  <c r="O11" i="22"/>
  <c r="N11" i="22"/>
  <c r="H11" i="22"/>
  <c r="G11" i="22"/>
  <c r="F11" i="22"/>
  <c r="E11" i="22"/>
  <c r="D11" i="22"/>
  <c r="C11" i="22"/>
  <c r="B11" i="22"/>
  <c r="O10" i="22"/>
  <c r="N10" i="22"/>
  <c r="H10" i="22"/>
  <c r="G10" i="22"/>
  <c r="F10" i="22"/>
  <c r="E10" i="22"/>
  <c r="D10" i="22"/>
  <c r="C10" i="22"/>
  <c r="B10" i="22"/>
  <c r="O9" i="22"/>
  <c r="N9" i="22"/>
  <c r="H9" i="22"/>
  <c r="G9" i="22"/>
  <c r="F9" i="22"/>
  <c r="E9" i="22"/>
  <c r="D9" i="22"/>
  <c r="C9" i="22"/>
  <c r="B9" i="22"/>
  <c r="I9" i="22" l="1"/>
  <c r="J9" i="22" s="1"/>
  <c r="I11" i="22"/>
  <c r="J11" i="22" s="1"/>
  <c r="I12" i="22"/>
  <c r="J12" i="22" s="1"/>
  <c r="I15" i="22"/>
  <c r="J15" i="22" s="1"/>
  <c r="I16" i="22"/>
  <c r="J16" i="22" s="1"/>
  <c r="I17" i="22"/>
  <c r="J17" i="22" s="1"/>
  <c r="I19" i="22"/>
  <c r="J19" i="22" s="1"/>
  <c r="I10" i="22"/>
  <c r="J10" i="22" s="1"/>
  <c r="I20" i="22"/>
  <c r="J20" i="22" s="1"/>
  <c r="I22" i="22"/>
  <c r="J22" i="22" s="1"/>
  <c r="I23" i="22"/>
  <c r="J23" i="22" s="1"/>
  <c r="I13" i="22"/>
  <c r="J13" i="22" s="1"/>
  <c r="I14" i="22"/>
  <c r="J14" i="22" s="1"/>
  <c r="I18" i="22"/>
  <c r="J18" i="22" s="1"/>
  <c r="I24" i="22"/>
  <c r="J24" i="22" s="1"/>
  <c r="I25" i="22"/>
  <c r="J25" i="22" s="1"/>
  <c r="N10" i="2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15" i="19" l="1"/>
  <c r="J15" i="19" s="1"/>
  <c r="I5" i="19"/>
  <c r="J5" i="19" s="1"/>
  <c r="I6" i="19"/>
  <c r="J6" i="19" s="1"/>
  <c r="I17" i="19"/>
  <c r="J17" i="19" s="1"/>
  <c r="I10" i="19"/>
  <c r="J10" i="19" s="1"/>
  <c r="I12" i="19"/>
  <c r="J12" i="19" s="1"/>
  <c r="O15" i="18" l="1"/>
  <c r="N15" i="18"/>
  <c r="H15" i="18"/>
  <c r="G15" i="18"/>
  <c r="I15" i="18" s="1"/>
  <c r="J15" i="18" s="1"/>
  <c r="F15" i="18"/>
  <c r="E15" i="18"/>
  <c r="D15" i="18"/>
  <c r="C15" i="18"/>
  <c r="B15" i="18"/>
  <c r="N14" i="18"/>
  <c r="O14" i="18" s="1"/>
  <c r="H14" i="18"/>
  <c r="G14" i="18"/>
  <c r="I14" i="18" s="1"/>
  <c r="J14" i="18" s="1"/>
  <c r="F14" i="18"/>
  <c r="E14" i="18"/>
  <c r="D14" i="18"/>
  <c r="C14" i="18"/>
  <c r="B14" i="18"/>
  <c r="N13" i="18"/>
  <c r="O13" i="18" s="1"/>
  <c r="H13" i="18"/>
  <c r="G13" i="18"/>
  <c r="I13" i="18" s="1"/>
  <c r="J13" i="18" s="1"/>
  <c r="F13" i="18"/>
  <c r="E13" i="18"/>
  <c r="D13" i="18"/>
  <c r="C13" i="18"/>
  <c r="B13" i="18"/>
  <c r="N12" i="18"/>
  <c r="O12" i="18" s="1"/>
  <c r="H12" i="18"/>
  <c r="G12" i="18"/>
  <c r="I12" i="18" s="1"/>
  <c r="J12" i="18" s="1"/>
  <c r="F12" i="18"/>
  <c r="E12" i="18"/>
  <c r="D12" i="18"/>
  <c r="C12" i="18"/>
  <c r="B12" i="18"/>
  <c r="O10" i="16" l="1"/>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I10" i="15" s="1"/>
  <c r="F10" i="15"/>
  <c r="E10" i="15"/>
  <c r="D10" i="15"/>
  <c r="C10" i="15"/>
  <c r="B10" i="15"/>
  <c r="N9" i="15"/>
  <c r="O9" i="15" s="1"/>
  <c r="K9" i="15"/>
  <c r="H9" i="15"/>
  <c r="G9" i="15"/>
  <c r="F9" i="15"/>
  <c r="E9" i="15"/>
  <c r="D9" i="15"/>
  <c r="C9" i="15"/>
  <c r="B9" i="15"/>
  <c r="I9" i="15" l="1"/>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F9" i="14"/>
  <c r="E9" i="14"/>
  <c r="D9" i="14"/>
  <c r="C9" i="14"/>
  <c r="B9" i="14"/>
  <c r="I9" i="14" l="1"/>
  <c r="J9" i="14" s="1"/>
  <c r="I16" i="14"/>
  <c r="J16" i="14" s="1"/>
  <c r="I25" i="14"/>
  <c r="J25" i="14" s="1"/>
  <c r="I13" i="14"/>
  <c r="J13" i="14" s="1"/>
  <c r="I19" i="14"/>
  <c r="J19" i="14" s="1"/>
  <c r="I24" i="14"/>
  <c r="J24" i="14" s="1"/>
  <c r="O14" i="13" l="1"/>
  <c r="N14" i="13"/>
  <c r="H14" i="13"/>
  <c r="G14" i="13"/>
  <c r="F14" i="13"/>
  <c r="E14" i="13"/>
  <c r="D14" i="13"/>
  <c r="C14" i="13"/>
  <c r="B14" i="13"/>
  <c r="O13" i="13"/>
  <c r="N13" i="13"/>
  <c r="H13" i="13"/>
  <c r="G13" i="13"/>
  <c r="I13" i="13" s="1"/>
  <c r="J13" i="13" s="1"/>
  <c r="F13" i="13"/>
  <c r="E13" i="13"/>
  <c r="D13" i="13"/>
  <c r="C13" i="13"/>
  <c r="B13" i="13"/>
  <c r="O12" i="13"/>
  <c r="N12" i="13"/>
  <c r="H12" i="13"/>
  <c r="G12" i="13"/>
  <c r="F12" i="13"/>
  <c r="E12" i="13"/>
  <c r="D12" i="13"/>
  <c r="C12" i="13"/>
  <c r="B12" i="13"/>
  <c r="O11" i="13"/>
  <c r="N11" i="13"/>
  <c r="H11" i="13"/>
  <c r="G11" i="13"/>
  <c r="F11" i="13"/>
  <c r="E11" i="13"/>
  <c r="D11" i="13"/>
  <c r="C11" i="13"/>
  <c r="B11" i="13"/>
  <c r="N10" i="13"/>
  <c r="O10" i="13" s="1"/>
  <c r="H10" i="13"/>
  <c r="G10" i="13"/>
  <c r="F10" i="13"/>
  <c r="E10" i="13"/>
  <c r="D10" i="13"/>
  <c r="C10" i="13"/>
  <c r="B10" i="13"/>
  <c r="O9" i="13"/>
  <c r="N9" i="13"/>
  <c r="H9" i="13"/>
  <c r="G9" i="13"/>
  <c r="F9" i="13"/>
  <c r="E9" i="13"/>
  <c r="D9" i="13"/>
  <c r="C9" i="13"/>
  <c r="B9" i="13"/>
  <c r="I9" i="13" l="1"/>
  <c r="J9" i="13" s="1"/>
  <c r="I10" i="13"/>
  <c r="J10" i="13" s="1"/>
  <c r="I14" i="13"/>
  <c r="J14" i="13" s="1"/>
  <c r="I12" i="13"/>
  <c r="J12" i="13" s="1"/>
  <c r="I11" i="13"/>
  <c r="J11" i="13"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F12" i="11"/>
  <c r="E12" i="11"/>
  <c r="D12" i="11"/>
  <c r="C12" i="11"/>
  <c r="B12" i="11"/>
  <c r="I12" i="11" l="1"/>
  <c r="J12" i="11" s="1"/>
  <c r="I15" i="1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H25" i="10"/>
  <c r="M25" i="10" s="1"/>
  <c r="G25" i="10"/>
  <c r="L25" i="10" s="1"/>
  <c r="F25" i="10"/>
  <c r="E25" i="10"/>
  <c r="D25" i="10"/>
  <c r="C25" i="10"/>
  <c r="B25" i="10"/>
  <c r="H20" i="10"/>
  <c r="M20" i="10" s="1"/>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I25" i="10" l="1"/>
  <c r="J25" i="10" s="1"/>
  <c r="N32" i="10"/>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O18" i="9" l="1"/>
  <c r="N18" i="9"/>
  <c r="J18" i="9"/>
  <c r="H18" i="9"/>
  <c r="G18" i="9"/>
  <c r="F18" i="9"/>
  <c r="E18" i="9"/>
  <c r="D18" i="9"/>
  <c r="C18" i="9"/>
  <c r="B18" i="9"/>
  <c r="O15" i="9"/>
  <c r="N15" i="9"/>
  <c r="J15" i="9"/>
  <c r="H15" i="9"/>
  <c r="G15" i="9"/>
  <c r="F15" i="9"/>
  <c r="E15" i="9"/>
  <c r="D15" i="9"/>
  <c r="C15" i="9"/>
  <c r="B15" i="9"/>
  <c r="O14" i="9"/>
  <c r="N14" i="9"/>
  <c r="J14" i="9"/>
  <c r="H14" i="9"/>
  <c r="G14" i="9"/>
  <c r="F14" i="9"/>
  <c r="E14" i="9"/>
  <c r="D14" i="9"/>
  <c r="C14" i="9"/>
  <c r="B14" i="9"/>
  <c r="O13" i="9"/>
  <c r="N13" i="9"/>
  <c r="J13" i="9"/>
  <c r="H13" i="9"/>
  <c r="G13" i="9"/>
  <c r="F13" i="9"/>
  <c r="E13" i="9"/>
  <c r="D13" i="9"/>
  <c r="C13" i="9"/>
  <c r="B13" i="9"/>
  <c r="O12" i="9"/>
  <c r="N12" i="9"/>
  <c r="H12" i="9"/>
  <c r="G12" i="9"/>
  <c r="F12" i="9"/>
  <c r="E12" i="9"/>
  <c r="D12" i="9"/>
  <c r="C12" i="9"/>
  <c r="B12" i="9"/>
  <c r="O11" i="9"/>
  <c r="N11" i="9"/>
  <c r="J11" i="9"/>
  <c r="H11" i="9"/>
  <c r="G11" i="9"/>
  <c r="F11" i="9"/>
  <c r="E11" i="9"/>
  <c r="D11" i="9"/>
  <c r="C11" i="9"/>
  <c r="B11" i="9"/>
  <c r="O10" i="9"/>
  <c r="N10" i="9"/>
  <c r="H10" i="9"/>
  <c r="G10" i="9"/>
  <c r="F10" i="9"/>
  <c r="E10" i="9"/>
  <c r="D10" i="9"/>
  <c r="C10" i="9"/>
  <c r="B10" i="9"/>
  <c r="O9" i="9"/>
  <c r="N9" i="9"/>
  <c r="H9" i="9"/>
  <c r="G9" i="9"/>
  <c r="F9" i="9"/>
  <c r="E9" i="9"/>
  <c r="D9" i="9"/>
  <c r="C9" i="9"/>
  <c r="B9" i="9"/>
  <c r="I13" i="9" l="1"/>
  <c r="I10" i="9"/>
  <c r="J10" i="9" s="1"/>
  <c r="I9" i="9"/>
  <c r="J9" i="9" s="1"/>
  <c r="I11" i="9"/>
  <c r="I12" i="9"/>
  <c r="J12" i="9"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9" i="6" l="1"/>
  <c r="N9" i="6"/>
  <c r="H9" i="6"/>
  <c r="G9" i="6"/>
  <c r="F9" i="6"/>
  <c r="E9" i="6"/>
  <c r="D9" i="6"/>
  <c r="C9" i="6"/>
  <c r="B9" i="6"/>
  <c r="I9" i="6" l="1"/>
  <c r="J9" i="6" s="1"/>
  <c r="O11" i="5"/>
  <c r="N11" i="5"/>
  <c r="H11" i="5"/>
  <c r="G11" i="5"/>
  <c r="F11" i="5"/>
  <c r="E11" i="5"/>
  <c r="D11" i="5"/>
  <c r="C11" i="5"/>
  <c r="B11" i="5"/>
  <c r="O10" i="5"/>
  <c r="N10" i="5"/>
  <c r="H10" i="5"/>
  <c r="G10" i="5"/>
  <c r="F10" i="5"/>
  <c r="E10" i="5"/>
  <c r="D10" i="5"/>
  <c r="C10" i="5"/>
  <c r="B10" i="5"/>
  <c r="O9" i="5"/>
  <c r="N9" i="5"/>
  <c r="H9" i="5"/>
  <c r="G9" i="5"/>
  <c r="F9" i="5"/>
  <c r="E9" i="5"/>
  <c r="D9" i="5"/>
  <c r="C9" i="5"/>
  <c r="B9" i="5"/>
  <c r="I11" i="5" l="1"/>
  <c r="J11" i="5" s="1"/>
  <c r="I9" i="5"/>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B13" i="3"/>
  <c r="C13" i="3"/>
  <c r="D13" i="3"/>
  <c r="E13" i="3"/>
  <c r="F13" i="3"/>
  <c r="G13" i="3"/>
  <c r="H13" i="3"/>
  <c r="N13" i="3"/>
  <c r="O13" i="3"/>
  <c r="B15" i="3"/>
  <c r="C15" i="3"/>
  <c r="D15" i="3"/>
  <c r="E15" i="3"/>
  <c r="F15" i="3"/>
  <c r="G15" i="3"/>
  <c r="H15" i="3"/>
  <c r="N15" i="3"/>
  <c r="O15" i="3"/>
  <c r="I13" i="3" l="1"/>
  <c r="J13" i="3" s="1"/>
  <c r="I9" i="3"/>
  <c r="J9" i="3" s="1"/>
  <c r="I15" i="3"/>
  <c r="J15"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 ref="W22" authorId="0" shapeId="0">
      <text>
        <r>
          <rPr>
            <b/>
            <sz val="9"/>
            <color indexed="81"/>
            <rFont val="Tahoma"/>
            <family val="2"/>
          </rPr>
          <t>Yesnith Suarez Ariza:</t>
        </r>
        <r>
          <rPr>
            <sz val="9"/>
            <color indexed="81"/>
            <rFont val="Tahoma"/>
            <family val="2"/>
          </rPr>
          <t xml:space="preserve">
El procedimiento en Isolución es de 2018, aun no esta la nueva versión.
Por favor coloca el borrador del documento actualizado en la carpeta compartida</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<sst xmlns="http://schemas.openxmlformats.org/spreadsheetml/2006/main" count="2212" uniqueCount="692">
  <si>
    <t>VIGENCIA 2019</t>
  </si>
  <si>
    <t>Consolidó: Yesnith Suárez Ariza</t>
  </si>
  <si>
    <t>Gestor T 1 - 10</t>
  </si>
  <si>
    <t>MAPA DE RIESGOS GESTIÓN</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</si>
  <si>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</si>
  <si>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</si>
  <si>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</si>
  <si>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</si>
  <si>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</si>
  <si>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</si>
  <si>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</si>
  <si>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</si>
  <si>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</si>
  <si>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</si>
  <si>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</si>
  <si>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</si>
  <si>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</si>
  <si>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</si>
  <si>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</si>
  <si>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</si>
  <si>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</si>
  <si>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</si>
  <si>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</si>
  <si>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</si>
  <si>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</si>
  <si>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</si>
  <si>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</si>
  <si>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</si>
  <si>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</si>
  <si>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</si>
  <si>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</si>
  <si>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</si>
  <si>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</si>
  <si>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</si>
  <si>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</si>
  <si>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</si>
  <si>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</si>
  <si>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</si>
  <si>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</si>
  <si>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</si>
  <si>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</si>
  <si>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</si>
  <si>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</si>
  <si>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</si>
  <si>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</si>
  <si>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</si>
  <si>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</si>
  <si>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</si>
  <si>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</si>
  <si>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</si>
  <si>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</si>
  <si>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</si>
  <si>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</si>
  <si>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</si>
  <si>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</si>
  <si>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</si>
  <si>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</si>
  <si>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</si>
  <si>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</si>
  <si>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</si>
  <si>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</si>
  <si>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</si>
  <si>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</si>
  <si>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</si>
  <si>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</si>
  <si>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</si>
  <si>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</si>
  <si>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</si>
  <si>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</si>
  <si>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</si>
  <si>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</si>
  <si>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</si>
  <si>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</si>
  <si>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</si>
  <si>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</si>
  <si>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</si>
  <si>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</si>
  <si>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</si>
  <si>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</si>
  <si>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</si>
  <si>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</si>
  <si>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</si>
  <si>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</si>
  <si>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</si>
  <si>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</si>
  <si>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</si>
  <si>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</si>
  <si>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</si>
  <si>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</si>
  <si>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</si>
  <si>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</si>
  <si>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</si>
  <si>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</si>
  <si>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</si>
  <si>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</si>
  <si>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</si>
  <si>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</si>
  <si>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</si>
  <si>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</si>
  <si>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</si>
  <si>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</si>
  <si>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</si>
  <si>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</si>
  <si>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</si>
  <si>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EVALUACIÓN, COTNROL Y MEJORA</t>
  </si>
  <si>
    <t>AGENCIA NACIONAL DE MINERÍA
MAPA DE RIESGOS DE GESTIÓN - PLANEACIÓN ESTRATEGICA</t>
  </si>
  <si>
    <t>1. Saneamiento Ambiental en la Sede Central, Archivo Central e Histórico y en los Puntos de Atención Regional PAR
2. Socialización conservación de archivo físico</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</si>
  <si>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</si>
  <si>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</si>
  <si>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</si>
  <si>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</si>
  <si>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</si>
  <si>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</si>
  <si>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</si>
  <si>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</si>
  <si>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</si>
  <si>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</si>
  <si>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</si>
  <si>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</si>
  <si>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</si>
  <si>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</si>
  <si>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</si>
  <si>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</si>
  <si>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</si>
  <si>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</si>
  <si>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</si>
  <si>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</si>
  <si>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</si>
  <si>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</si>
  <si>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</si>
  <si>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</si>
  <si>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</si>
  <si>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</si>
  <si>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</si>
  <si>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</si>
  <si>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</si>
  <si>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</si>
  <si>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AGENCIA NACIONAL DE MINERÍA
MAPA DE RIESGOS DE GESTIÓN - GESTIÓN DOCUMENTAL</t>
  </si>
  <si>
    <t>1. Seguimiento indicadores POA y PES de Min Minas trimestralmente.
2. Seguimiento cronograma de actividades del Plan Estratégico.
3. Seguimiento Ejecución Presupuestal de GGTH</t>
  </si>
  <si>
    <t>1. Realizar seguimiento trimestral de los indicadores desde planeación y la vicepresidencia.</t>
  </si>
  <si>
    <t>Calculo de indicadores</t>
  </si>
  <si>
    <t>Coordinador Gestión Talento Humano</t>
  </si>
  <si>
    <t>1. Delegación en sólo una (1) persona la responsabilidad del manejo y actualización de la información.
2. Revisión por otro funcionario de la veracidad de la información</t>
  </si>
  <si>
    <t>2. Revisar que todas las certificaciones generadas en el Grupo de Talento Humano lleve el visto bueno de quienes elaboran, revisan y aprueban. revisan en el documento</t>
  </si>
  <si>
    <t xml:space="preserve">Certificaciones con validaciones </t>
  </si>
  <si>
    <t>1. Preliquidación de nómina
2. Revisión de la versión final antes de trámite de pago</t>
  </si>
  <si>
    <t>3. Revisar que la liquidación de la nomina presente los registros de firma de quienes elaboran, revisan y aprueban el documento.</t>
  </si>
  <si>
    <t>Liquidación de nomina con validaciones</t>
  </si>
  <si>
    <t xml:space="preserve">1. Lista de chequeo de los documentos que deben reposar en la historia laboral.
2. Custodia de sólo un servidor de las historias laborales.
3. Registro de préstamo y retorno de las historias laborales para revisión de otros servidores
</t>
  </si>
  <si>
    <t>1. Revisar que todas las historias laborales tengan la lista de chequeo y hoja de control que detalla el contenido de la documentación que contiene la carpeta.</t>
  </si>
  <si>
    <t>Lista de chequeo y hoja de control</t>
  </si>
  <si>
    <t>1. Definir oportunamente los recursos que se requerirán de acuerdo con la planeación de las actividades para garantizar su apropiación.
2. Definir las responsabilidades equitativamente dentro del cronograma de ejecución de las mismas para garantizar su cumplimiento</t>
  </si>
  <si>
    <t>1. Realizar seguimiento al cumplimiento de los requisitos establecidos en la Resolución No 104 de 2017 para garantizar la implementación del SGSST.</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</si>
  <si>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</si>
  <si>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</si>
  <si>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</si>
  <si>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</si>
  <si>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</si>
  <si>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</si>
  <si>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</si>
  <si>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</si>
  <si>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</si>
  <si>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</si>
  <si>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</si>
  <si>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</si>
  <si>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</si>
  <si>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</si>
  <si>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</si>
  <si>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</si>
  <si>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</si>
  <si>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</si>
  <si>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AGENCIA NACIONAL DE MINERÍA
MAPA DE RIESGOS DE GESTIÓN - GESTIÓN DEL TALENTO HUMANO</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</si>
  <si>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</si>
  <si>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</si>
  <si>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</si>
  <si>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</si>
  <si>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</si>
  <si>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</si>
  <si>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</si>
  <si>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</si>
  <si>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</si>
  <si>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</si>
  <si>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</si>
  <si>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</si>
  <si>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</si>
  <si>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</si>
  <si>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</si>
  <si>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</si>
  <si>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</si>
  <si>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</si>
  <si>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</si>
  <si>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</si>
  <si>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</si>
  <si>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</si>
  <si>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</si>
  <si>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</si>
  <si>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</si>
  <si>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</si>
  <si>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</si>
  <si>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</si>
  <si>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</si>
  <si>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</si>
  <si>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</si>
  <si>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</si>
  <si>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</si>
  <si>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</si>
  <si>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</si>
  <si>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</si>
  <si>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</si>
  <si>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</si>
  <si>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</si>
  <si>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</si>
  <si>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</si>
  <si>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</si>
  <si>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</si>
  <si>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</si>
  <si>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</si>
  <si>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</si>
  <si>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</si>
  <si>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</si>
  <si>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</si>
  <si>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</si>
  <si>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</si>
  <si>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</si>
  <si>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</si>
  <si>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</si>
  <si>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</si>
  <si>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</si>
  <si>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</si>
  <si>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</si>
  <si>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</si>
  <si>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</si>
  <si>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</si>
  <si>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</si>
  <si>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</si>
  <si>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</si>
  <si>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</si>
  <si>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</si>
  <si>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</si>
  <si>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</si>
  <si>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</si>
  <si>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</si>
  <si>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</si>
  <si>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</si>
  <si>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</si>
  <si>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</si>
  <si>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</si>
  <si>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</si>
  <si>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</si>
  <si>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</si>
  <si>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</si>
  <si>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</si>
  <si>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</si>
  <si>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</si>
  <si>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</si>
  <si>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 xml:space="preserve">1. Revisión por parte del funcionario y/o personal de apoyo de la solicitud de contratación vs Plan Anual de Adquisiciones.  
2. Verificación en SECOP II del PAA, a través del aplicativo, esto para contratos con recursos ANM.                                                                                                                                                                                                                                                         </t>
  </si>
  <si>
    <t>Verificar que las solicitudes de contratación cuenten con el visto bueno del funcionario a cargo del PAA</t>
  </si>
  <si>
    <t>Memorando de solicitud de contratación con visto bueno del funcionario a cargo</t>
  </si>
  <si>
    <t>Líder del Proceso</t>
  </si>
  <si>
    <t>Verificación y seguimiento por parte del funcionario y/o personal de apoyo al trámite de liquidaciones.</t>
  </si>
  <si>
    <t>Actualizar y hacer seguimiento a la bitácora de liquidación a cargo del Grupo de Contratación de la VAF</t>
  </si>
  <si>
    <t>Bitácora actualizada</t>
  </si>
  <si>
    <t>1. Restricción para acceso físico a las carpetas contractuales que se encuentran debidamente foliadas, las cuales deben ser consultadas directamente en la Vicepresidencia Administrativa y Financiera, Grupo de Contratación.
2. Implementación paulatina de la carpeta contractual electrónica a través de la Plataforma que para el efecto adopta Colombia Compra Eficiente, actualmente SECOP II.</t>
  </si>
  <si>
    <t>Verificar de archivo de carpetas debidamente foliadas.</t>
  </si>
  <si>
    <t>Carpetas foliadas</t>
  </si>
  <si>
    <t>Incorporación de funcionarios y contratistas de alto nivel de conocimiento y preparación en relación con la contratación pública, y en particular con la gestión contractual en sus distintas etapas.</t>
  </si>
  <si>
    <t>Hacer seguimiento a través de las evaluación de desempeño a funcionarios y cuentas mensuales a contratistas del cumplimiento y desarrollo de las actividades a su cargo en materia contractual.</t>
  </si>
  <si>
    <t>Evaluaciones de desempeño e informes de supervisión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</si>
  <si>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t>
  </si>
  <si>
    <t>Programar y realizar dos (2) capacitaciones a funcionarios y contratistas en temas de supervisión contractual</t>
  </si>
  <si>
    <t>Utilización de la herramienta SECOP II, para efectos de la publicación en tiempo real de los actos administrativos correspondientes</t>
  </si>
  <si>
    <t xml:space="preserve">Recordar de manera periódica a los abogados sobre la necesidad de verificar la publicación de los documentos dentro de los tres (3) días hábiles siguientes a su expedición, en SECOP. </t>
  </si>
  <si>
    <t>Correos electrónicos</t>
  </si>
  <si>
    <t>AGENCIA NACIONAL DE MINERÍA
MAPA DE RIESGOS DE GESTIÓN - ADQUISICIÓN DE BIENES Y SERVICIOS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</si>
  <si>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</si>
  <si>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</si>
  <si>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</si>
  <si>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</si>
  <si>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</si>
  <si>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</si>
  <si>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</si>
  <si>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</si>
  <si>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</si>
  <si>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</si>
  <si>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</si>
  <si>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</si>
  <si>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</si>
  <si>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</si>
  <si>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</si>
  <si>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</si>
  <si>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</si>
  <si>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</si>
  <si>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</si>
  <si>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</si>
  <si>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</si>
  <si>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</si>
  <si>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</si>
  <si>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</si>
  <si>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</si>
  <si>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</si>
  <si>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</si>
  <si>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</si>
  <si>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</si>
  <si>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</si>
  <si>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</si>
  <si>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</si>
  <si>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</si>
  <si>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</si>
  <si>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</si>
  <si>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</si>
  <si>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</si>
  <si>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</si>
  <si>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</si>
  <si>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</si>
  <si>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</si>
  <si>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</si>
  <si>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</si>
  <si>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</si>
  <si>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</si>
  <si>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</si>
  <si>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</si>
  <si>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</si>
  <si>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</si>
  <si>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</si>
  <si>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</si>
  <si>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</si>
  <si>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</si>
  <si>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</si>
  <si>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</si>
  <si>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</si>
  <si>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</si>
  <si>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AGENCIA NACIONAL DE MINERÍA
MAPA DE RIESGOS DE GESTIÓN - GESTIÓN INTEGRAL DE LA INFORMACIÓN MINERA</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</si>
  <si>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</si>
  <si>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</si>
  <si>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</si>
  <si>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</si>
  <si>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</si>
  <si>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</si>
  <si>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</si>
  <si>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</si>
  <si>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</si>
  <si>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</si>
  <si>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</si>
  <si>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</si>
  <si>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</si>
  <si>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</si>
  <si>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</si>
  <si>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</si>
  <si>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</si>
  <si>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</si>
  <si>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</si>
  <si>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</si>
  <si>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</si>
  <si>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</si>
  <si>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</si>
  <si>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</si>
  <si>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</si>
  <si>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</si>
  <si>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</si>
  <si>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</si>
  <si>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</si>
  <si>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</si>
  <si>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</si>
  <si>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</si>
  <si>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</si>
  <si>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</si>
  <si>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</si>
  <si>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</si>
  <si>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</si>
  <si>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</si>
  <si>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</si>
  <si>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</si>
  <si>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</si>
  <si>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</si>
  <si>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</si>
  <si>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</si>
  <si>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</si>
  <si>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</si>
  <si>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</si>
  <si>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</si>
  <si>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</si>
  <si>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</si>
  <si>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</si>
  <si>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</si>
  <si>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</si>
  <si>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</si>
  <si>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</si>
  <si>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</si>
  <si>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</si>
  <si>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</si>
  <si>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</si>
  <si>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</si>
  <si>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</si>
  <si>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</si>
  <si>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</si>
  <si>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</si>
  <si>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</si>
  <si>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</si>
  <si>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</si>
  <si>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</si>
  <si>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</si>
  <si>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</si>
  <si>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</si>
  <si>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</si>
  <si>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</si>
  <si>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</si>
  <si>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</si>
  <si>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</si>
  <si>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</si>
  <si>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</si>
  <si>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</si>
  <si>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</si>
  <si>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</si>
  <si>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</si>
  <si>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</si>
  <si>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</si>
  <si>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</si>
  <si>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</si>
  <si>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</si>
  <si>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</si>
  <si>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</si>
  <si>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</si>
  <si>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</si>
  <si>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</si>
  <si>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</si>
  <si>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</si>
  <si>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</si>
  <si>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</si>
  <si>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</si>
  <si>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</si>
  <si>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</si>
  <si>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</si>
  <si>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</si>
  <si>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</si>
  <si>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</si>
  <si>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</si>
  <si>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</si>
  <si>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</si>
  <si>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</si>
  <si>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</si>
  <si>
    <t>Experto del Control Interno Disciplinario/Grupo de Control Interno Disciplinario</t>
  </si>
  <si>
    <t xml:space="preserve">Coordinador Grupo de Planeación </t>
  </si>
  <si>
    <t>Revisó: Paola Andrea Calderon Vargas</t>
  </si>
  <si>
    <t>REPORTE CONSOLIDADO SEGUNDO TRIMESTRE 2019</t>
  </si>
  <si>
    <t>Se publicó la versión 2 del POA 2019 y se  solicitó reporte de datos correspondiente al II trimestre de 2019</t>
  </si>
  <si>
    <t>Se elaboró el informe del PE y del POA respecto del I trimestre de 2019.</t>
  </si>
  <si>
    <t>EN PROCESO</t>
  </si>
  <si>
    <t>NO</t>
  </si>
  <si>
    <t>NA</t>
  </si>
  <si>
    <t>Se recibió el reporte del 90 % de los procesos correspondiente al II trimestre de 2019  y se realizó revisión de los mismos.</t>
  </si>
  <si>
    <t>Se han realizado mesas de trabajo con los encargados de los procesos y se ha retroalimentado respecto de los reportes y de la formulación de los indicadores.</t>
  </si>
  <si>
    <t>Se han realizado mesas de trabajo con el fin de revisar los reportes realizados del I y II trimestre 2019.</t>
  </si>
  <si>
    <t xml:space="preserve">Durante el mes de agosto se elaborará el informe de avance del II trimestre de 2019 con el fin de socializarlo con los lideres. </t>
  </si>
  <si>
    <t>Dentro del Informe de seguimiento del POA I semestre se incluyó una análisis respecto de los indicadores que tienen relación con el PND 2018-2021.</t>
  </si>
  <si>
    <t>Se inicio el diseño de la metodología para la construcción de la planeación estratégica 2020-2023, en la cual se toma como insumo el PND 2018-2021.</t>
  </si>
  <si>
    <t>En el segundo trimestre se remitieron correos de alerta a los responsables del registro de la información de avance en el aplicativo SPI.
Se verificó el cumplimiento del registro de la información el  aplicativo SPI con el rol Jefe de Planeación en el módulo de seguimiento / consulta en abril, mayo y junio.
Evidencias: Correos electrónicos de alerta
Correos electrónicos relacionados con el trámite de actualización del proyecto a cargo de la VCT y el registro en el BPIN del nuevo proyecto de la VPF, para la vigencia 2020. El plazo para estas actividades vencía el 31 de mayo de 2019.</t>
  </si>
  <si>
    <t xml:space="preserve">El envío de correos de alerta y la verificación al cumplimiento de los plazos establecidos por el DNP para el registro de la información, debe ser mensual.
</t>
  </si>
  <si>
    <t>En abril se suscribieron las actas de seguimiento a la ejecución de los proyectos de inversión del primer trimestre. En dichas actas se evidenció el nivel de cumplimiento de los compromisos adquiridos para la ejecución financiera; asimismo se identificaron causas de los rezagos con base en las cuales las áreas deberán tomar las medidas de subsanación correspondientes.
Evidencia: Actas de seguimiento corte 31/03/2019</t>
  </si>
  <si>
    <t>El seguimiento a la ejecución de los proyectos de inversión para el segundo trimestre iniciará en julio de 2019</t>
  </si>
  <si>
    <t xml:space="preserve">Los profesionales del grupo de planeación durante el segundo trimestre de 2019, han realizado seguimiento permanente de las acciones derivadas de planes de mejoramiento y que se encuentran cagadas en ISOLUCION, con el fin de dar tramite de cierre a lo vencido y apoyar la gestión de las acciones que se encuentran en ejecución. </t>
  </si>
  <si>
    <t>Mesas de trabajo con las dependencias donde se han cerrado (12 No conformidades/acciones de mejora en el segundo trimestre).</t>
  </si>
  <si>
    <t>1. Realizar seguimiento al cumplimiento del cronograma para el registro y/o actualización de los proyectos de inversión de la Entidad.</t>
  </si>
  <si>
    <t>2. Realizar mesas de trabajo trimestralmente para el seguimiento a la ejecución de los  proyectos. y al Plan Anual de Adquisiciones de cada proyecto.</t>
  </si>
  <si>
    <t>1. Cronograma con seguimiento y correo electrónico</t>
  </si>
  <si>
    <t>2. Actas y/o listados de asistencia.</t>
  </si>
  <si>
    <t>Se mantiene el control definido</t>
  </si>
  <si>
    <t>Se anexa el tablero de control del Plan Anual de Auditoría como evidencia del cumplimiento de las auditorias de ley</t>
  </si>
  <si>
    <t>En proceso</t>
  </si>
  <si>
    <t>No</t>
  </si>
  <si>
    <t>Se anexa el tablero de control del Plan Anual de Auditoría como evidencia del cumplimiento de las auditorias de programadas</t>
  </si>
  <si>
    <t>Se anexa 2 Jornadas de sensibilización en temas de mejora en la Estación de Salamvamento Minero Jaumundí y Medellin.</t>
  </si>
  <si>
    <t>. Una vez revisados y ajustados los estudios previos, el análisis del sector y la fícha técnica de este proceso, se radica al Grupo de Contratación Institucional, en donde se asigna al abogado  Jims Williams Pérez, quien inicia proceso de Selección Abreviada y cargue de los documentos en el Secop.  Seguidamente, de acuerdo al cronograma la respuesta a las observaciones y la evaluación de las ofertas presentadas por los dos oferentes:  Fumy Spray y Eos Conservación Documental.</t>
  </si>
  <si>
    <t xml:space="preserve">. Estudios Previos ajustados
. Análisis del Sector definitiva
. Ficha Técnica
.  Memorando Radicado
. 7 Anexos complementario a los estudios previos y análsiis del sector.
Observaciones a pliegos y prepliegos
. Evaluación propuestas
 </t>
  </si>
  <si>
    <t>No aplica</t>
  </si>
  <si>
    <t>Se aplican actualmente los controles y las evidencias reposan en las carpetas de conceptos y matriz excel ténico asistencial</t>
  </si>
  <si>
    <t>Se dio cumplimiento en el trimestre la verificacion y visto bueno de lista de chequeo de consultas.</t>
  </si>
  <si>
    <t>N/A</t>
  </si>
  <si>
    <t xml:space="preserve">Se aplican los controles actualmente, las evidencias de los mismos se encuentran en custodia de la secretaria técnica del Comité de Conciliación en archivos físico y digital. </t>
  </si>
  <si>
    <t>Se aplican los controles actualmente, se programaron las mesas de estudio jurídico y se presentaron casos ante el comité de conciliación</t>
  </si>
  <si>
    <t xml:space="preserve">Se aplican los controles actualmente, las evidencias de los mismos se encuentran en custodia de la técnico asistencial del Grupo. </t>
  </si>
  <si>
    <t xml:space="preserve">Se ha llevado el control de préstamo de expedientes y se ha actualizado la columna de folios en la base de datos. </t>
  </si>
  <si>
    <t>Se cumplió con la aplicación del control y se encuentra la evidencia en carpeta digital.
Se solicitó a la OTI el permiso de lectura de la base de datos excel a los funcionarios y contratistas del Grupo.</t>
  </si>
  <si>
    <t>Se remitieron expedientes inactivos a archivo central y se continúa con depuración (de acuerdo a los correos electrónicos)</t>
  </si>
  <si>
    <t xml:space="preserve">Se cumplió con la aplicación del control y se encuentra la evidencia en carpeta digital </t>
  </si>
  <si>
    <t>Se cumplió en el primer trimestre</t>
  </si>
  <si>
    <t>Cumplida</t>
  </si>
  <si>
    <t xml:space="preserve">Se cumplió con la aplicación del control a través de la base de datos </t>
  </si>
  <si>
    <t>Se dio cumplimiento a la priorización de procesos.
En el primer semestre se priorizaron 634 procesos de los cuales se adelantaron actuaciones en todos ellos.</t>
  </si>
  <si>
    <t>A la fecha de corte el grupo se encuentra completo en su planta, sin embargo existe un cargo vacante temporal (técnico asistencial).</t>
  </si>
  <si>
    <t>Se encuentran realizando las validaciones a efectos de cumplir con la acción, con el fin de solcitar la provisión del cargo temporal</t>
  </si>
  <si>
    <t>Se realizó el primer reporte POA correspondiente al primer trimestre y se está adelantando el reporte del segundo trimestre para el Grupo de Planeación, los cuales forman parte del plan estratégico y adicionalmente incluyen el seguimiento presupuestal.</t>
  </si>
  <si>
    <t>Reportes indicaodres POA  al Grupo de Planeación de la VAF 1er y 2o trimestre</t>
  </si>
  <si>
    <t>El manejo y alimentación de la información de planta se realiza a través de la Analista del Grupo exclusivamente con las novedades reportadas. Las certificaciones las revisa la Experta y/o Gestora del Grupo para verificar la veracidad de la información, previo a la forma del Coordinador del GGTH.</t>
  </si>
  <si>
    <t>1. La analista alimenta la planta de personal con las novedades reportadas, la cual permanece actualizada en tiempo real para la verificación de las certificaciones.                  2. Las certificaciones las revisa la Experta y/o Gestora del Grupo para verificar la veracidad de la información, previo a la forma del Coordinador del GGTH.</t>
  </si>
  <si>
    <t>Se preliquida la nómina para revisión de la persona que la hace junto con el Coordinador del Grupo</t>
  </si>
  <si>
    <t>Se liquida la norma y se firma por parte del Gestor que la elabora, el Coordinador del GGTH y la VAF.</t>
  </si>
  <si>
    <t>1. Cada historia laboral contiene la lista de chequeo de los documentos que debe contener. 2. Desde el mes de marzo se hizo el encargo del funcionario que será el único responsable de manejar y custodiar las historias laborales para cubrir la vacante temporal. 3. Está en implementación la hoja de préstamo y devolución de las mismas y por ahora se maneja a través de correos electrónicos y registro manual de préstamo y devoluciones.</t>
  </si>
  <si>
    <t>1. Cada historia laboral contiene la lista de chequeo de los documentos que debe contener</t>
  </si>
  <si>
    <t>1. Una psicóloga del grupo de planeación apoya la ejecución de las actividades del SGSST. 2. El Grupo SIG de Planeación realiza seguimiento al cumplimiento de las actividades programadas.</t>
  </si>
  <si>
    <t>1. A través del cumplimiento de los objetivos del Sistema listados dentro de las actividades que se reportan en el POA.</t>
  </si>
  <si>
    <r>
      <t xml:space="preserve">Durante el segundo trimestre de 2019 se generaron </t>
    </r>
    <r>
      <rPr>
        <b/>
        <sz val="11"/>
        <color theme="1"/>
        <rFont val="Arial Narrow"/>
        <family val="2"/>
      </rPr>
      <t>doce (12)</t>
    </r>
    <r>
      <rPr>
        <sz val="11"/>
        <color theme="1"/>
        <rFont val="Arial Narrow"/>
        <family val="2"/>
      </rPr>
      <t xml:space="preserve"> </t>
    </r>
    <r>
      <rPr>
        <b/>
        <sz val="11"/>
        <color theme="1"/>
        <rFont val="Arial Narrow"/>
        <family val="2"/>
      </rPr>
      <t>alertas</t>
    </r>
    <r>
      <rPr>
        <sz val="11"/>
        <color theme="1"/>
        <rFont val="Arial Narrow"/>
        <family val="2"/>
      </rPr>
      <t xml:space="preserve"> a los abogados comisionados, sobre las próximas fechas de vencimiento de etapas procesales.  Las alertas se relacionan con </t>
    </r>
    <r>
      <rPr>
        <b/>
        <sz val="11"/>
        <color theme="1"/>
        <rFont val="Arial Narrow"/>
        <family val="2"/>
      </rPr>
      <t>24 procesos</t>
    </r>
    <r>
      <rPr>
        <sz val="11"/>
        <color theme="1"/>
        <rFont val="Arial Narrow"/>
        <family val="2"/>
      </rPr>
      <t xml:space="preserve"> y se discriminan así:  a) </t>
    </r>
    <r>
      <rPr>
        <b/>
        <sz val="11"/>
        <color theme="1"/>
        <rFont val="Arial Narrow"/>
        <family val="2"/>
      </rPr>
      <t xml:space="preserve">7 </t>
    </r>
    <r>
      <rPr>
        <sz val="11"/>
        <color theme="1"/>
        <rFont val="Arial Narrow"/>
        <family val="2"/>
      </rPr>
      <t xml:space="preserve">alertas sobre vencimiento de la etapa de indagación preliminar en </t>
    </r>
    <r>
      <rPr>
        <b/>
        <sz val="11"/>
        <color theme="1"/>
        <rFont val="Arial Narrow"/>
        <family val="2"/>
      </rPr>
      <t>15</t>
    </r>
    <r>
      <rPr>
        <sz val="11"/>
        <color theme="1"/>
        <rFont val="Arial Narrow"/>
        <family val="2"/>
      </rPr>
      <t xml:space="preserve"> procesos; b)</t>
    </r>
    <r>
      <rPr>
        <b/>
        <sz val="11"/>
        <color theme="1"/>
        <rFont val="Arial Narrow"/>
        <family val="2"/>
      </rPr>
      <t xml:space="preserve"> </t>
    </r>
    <r>
      <rPr>
        <sz val="11"/>
        <color theme="1"/>
        <rFont val="Arial Narrow"/>
        <family val="2"/>
      </rPr>
      <t xml:space="preserve">3 alertas sobre el vencimiento de la etapa de investigación en </t>
    </r>
    <r>
      <rPr>
        <b/>
        <sz val="11"/>
        <color theme="1"/>
        <rFont val="Arial Narrow"/>
        <family val="2"/>
      </rPr>
      <t>cinco (5)</t>
    </r>
    <r>
      <rPr>
        <sz val="11"/>
        <color theme="1"/>
        <rFont val="Arial Narrow"/>
        <family val="2"/>
      </rPr>
      <t xml:space="preserve"> procesos; c) </t>
    </r>
    <r>
      <rPr>
        <b/>
        <sz val="11"/>
        <color theme="1"/>
        <rFont val="Arial Narrow"/>
        <family val="2"/>
      </rPr>
      <t>Tres (3)</t>
    </r>
    <r>
      <rPr>
        <sz val="11"/>
        <color theme="1"/>
        <rFont val="Arial Narrow"/>
        <family val="2"/>
      </rPr>
      <t xml:space="preserve"> alertas sobre actuaciones pendientes o documentación faltante en los expedientes de </t>
    </r>
    <r>
      <rPr>
        <b/>
        <sz val="11"/>
        <color theme="1"/>
        <rFont val="Arial Narrow"/>
        <family val="2"/>
      </rPr>
      <t xml:space="preserve">cuatro (4) </t>
    </r>
    <r>
      <rPr>
        <sz val="11"/>
        <color theme="1"/>
        <rFont val="Arial Narrow"/>
        <family val="2"/>
      </rPr>
      <t xml:space="preserve">procesos disciplinarios; y </t>
    </r>
    <r>
      <rPr>
        <b/>
        <sz val="11"/>
        <color theme="1"/>
        <rFont val="Arial Narrow"/>
        <family val="2"/>
      </rPr>
      <t>una (1)</t>
    </r>
    <r>
      <rPr>
        <sz val="11"/>
        <color theme="1"/>
        <rFont val="Arial Narrow"/>
        <family val="2"/>
      </rPr>
      <t xml:space="preserve"> alerta sobre evaluación de la queja disciplinaria. 
Una de las alertas evidenció que no obstante no reposar el soporte de la actuación surtida en el expediente del proceso disciplinario, sí se había comunicado al quejoso el auto de archivo, lo que permitió que se incorporara al expediente dicho soporte; mientras que otra alerta permitió que adoptara una decisión inhibitoria que venía siendo analizada por el revisor designado. 
En una de las alertas se comunicó el vencimiento próximo de la etapa de indagación para dos procesos y de la etapa de investigación en un proceso; de igual forma, en una alerta se informó sobre el vencimiento en los próximos días de la etapa de indagación en un proceso, y de la etapa de investitgación en otro proceso.  
Una alerta fue reenviada a los nuevos abogados comisionados, al haberse presentado una reasignación de los procesos en el reparto.
No obstante las alertas generadas como acción para el control del riesgo residual, cada abogado comisionado es el encargado de efectuar el seguimiento a los procesos asignados tanto en el expediente como en el SID3, e implementar las actuaciones procesales correspondientes.  
De igual forma, durante el período reportado se realizó auditoría al Sistema de Información Disciplinaria - SID3 para los procesos del stock de procesos activos al 31/12/2018; el informe de auditoría junto con el archivo Excel de lo encontrado respecto de cada proceso, fue remitido a la Vicepresidenta Administrativa y Financiera y al Coordinador del Grupo de Control Interno Disciplinario; así mismo, se enviaron cinco (5) correos electrónicos a los abogados comisionados, remitiendo los resultados de la auditoría.
Durante el período reportado no fue necesario generar alertas sobre la ocurrencia de caducidades o prescripciones.</t>
    </r>
  </si>
  <si>
    <t>La acción de manejo del riesgo residual se viene implementando conforme se va identificando la necesidad de generar alertas vía correo electrónico a los abogados comisionados para la sustanciación de los procesos disciplinarios.</t>
  </si>
  <si>
    <r>
      <t xml:space="preserve">El riesgo no se materializó en el período no obstante que en los procesos 013-2018, 119-2014, 005-2019 y 049-2017  se expidió auto de archivo por haber prescrito la acción disciplinaria.  De acuerdo con dichos actos administrativos, el fenómeno de la prescripción operó por las siguientes razones: 1) </t>
    </r>
    <r>
      <rPr>
        <b/>
        <sz val="11"/>
        <rFont val="Arial Narrow"/>
        <family val="2"/>
      </rPr>
      <t>Proceso 013-2018</t>
    </r>
    <r>
      <rPr>
        <sz val="11"/>
        <rFont val="Arial Narrow"/>
        <family val="2"/>
      </rPr>
      <t xml:space="preserve">: Los hechos ocurrieron en los años 2010 y 2011, y el expediente sólo llegó al G.C.I.D. el 12/02/2018; 2) </t>
    </r>
    <r>
      <rPr>
        <b/>
        <sz val="11"/>
        <rFont val="Arial Narrow"/>
        <family val="2"/>
      </rPr>
      <t>Proceso 119-2014</t>
    </r>
    <r>
      <rPr>
        <sz val="11"/>
        <rFont val="Arial Narrow"/>
        <family val="2"/>
      </rPr>
      <t xml:space="preserve">: Los hechos ocurrieron hace más de cinco años.  3) </t>
    </r>
    <r>
      <rPr>
        <b/>
        <sz val="11"/>
        <rFont val="Arial Narrow"/>
        <family val="2"/>
      </rPr>
      <t>Proceso 005-2019:</t>
    </r>
    <r>
      <rPr>
        <sz val="11"/>
        <rFont val="Arial Narrow"/>
        <family val="2"/>
      </rPr>
      <t xml:space="preserve"> Los hechos ocurrieron hace más de 12 años y el expediente fue remitido por la Procuraduría General de la Nación el 10/01/2019, habiendo operado el fenómeno de la prescripción de la facultad sancionatoria del Estado; y </t>
    </r>
    <r>
      <rPr>
        <b/>
        <sz val="11"/>
        <rFont val="Arial Narrow"/>
        <family val="2"/>
      </rPr>
      <t>Proceso 049-2017</t>
    </r>
    <r>
      <rPr>
        <sz val="11"/>
        <rFont val="Arial Narrow"/>
        <family val="2"/>
      </rPr>
      <t>: Los hechos ocurrieron en los años 2008 a 2011, habiendo operado el fenómeno de la prescripción de la acción disciplinaria.</t>
    </r>
  </si>
  <si>
    <t>No se requiere activar plan de contingencia toda vez que el riesgo no se materializó durante el período, y los controles implementados y la acción programada para el manejo del riesgo residual han sido efectivos para evitar dilaciones injustificadas, caducidades y prescripciones.</t>
  </si>
  <si>
    <r>
      <t>El cronograma de capacitaciones establecido al interior del Grupo de Control Interno Disciplinario, se continuó ejecutando de acuerdo con la programación, para lo cual se realizó una jornada de retroalimentación de los conocimientos adquiridos en el seminario Código General Disciplinario el 02 de abril de 2019, a todo el equipo de trabajo.  Es importante señalar que el artículo 140 de la Ley 1955 del 25 de mayo de 2019, por la cual se expide el Plan Nacional de Desarrollo 2018-2022 "</t>
    </r>
    <r>
      <rPr>
        <i/>
        <sz val="11"/>
        <color theme="1"/>
        <rFont val="Arial Narrow"/>
        <family val="2"/>
      </rPr>
      <t>Pacto por Colombia, pacto por la equidad</t>
    </r>
    <r>
      <rPr>
        <sz val="11"/>
        <color theme="1"/>
        <rFont val="Arial Narrow"/>
        <family val="2"/>
      </rPr>
      <t>", difirió la entrada en vigencia de la Ley 1952 de 2019 (Código General Disciplinario) hasta el 1 de julio del año 2021, por lo que dicha normativa sólo entrará a regir en dos años.</t>
    </r>
  </si>
  <si>
    <t>La acción de manejo del riesgo se cumplió en relación con la elaboración del cronograma de capacitaciones/entrenamiento, y viene siendo implementada de acuerdo con la programación del cronograma.</t>
  </si>
  <si>
    <t>El riesgo no se materializó durante el período</t>
  </si>
  <si>
    <t>No se requiere activar plan de contingencia toda vez que el riesgo no se materializó durante el período</t>
  </si>
  <si>
    <r>
      <t>La jornada de sensibilización (capacitación) a los funcionarios de la ANM se tiene programada en el POA 2019 para el segundo semestre del año a través de la realización de la dinámica ( juego) sobre derecho disciplinario.  
El Grupo de Control Interno Disciplinario avanzó durante el primer trimestre en la ideación del juego, y si bien venía avanzando en la estructuración del mismo durante el segundo trimestre del año, fue necesario replantear el trabajo teniendo en cuenta que la dinámica de juego deberá ser realizada con base en las normas de la Ley 734 de 2002, y no como se venía trabajando con base en las normas de la Ley 1952 de 2019 (teniendo en cuenta que la entrada en vigencia parcial de la Ley 1952 de 2019 había sido prevista por la ley para el 28 de mayo de 2019). Lo anterior, teniendo en cuenta que el artículo 140 de la Ley 1955 del 25 de mayo de 2019, por la cual se expide el Plan Nacional de Desarrollo 2018-2022 "</t>
    </r>
    <r>
      <rPr>
        <i/>
        <sz val="11"/>
        <color theme="1"/>
        <rFont val="Arial Narrow"/>
        <family val="2"/>
      </rPr>
      <t>Pacto por Colombia, pacto por la equidad"</t>
    </r>
    <r>
      <rPr>
        <sz val="11"/>
        <color theme="1"/>
        <rFont val="Arial Narrow"/>
        <family val="2"/>
      </rPr>
      <t>, difirió la entrada en vigencia de la Ley 1952 de 2019 (Código General Disciplinario) hasta el 1 de julio del año 2021. 
El Grupo de Control Interno Disciplinario inició nuevamente y logró durante el período reportado la revisión y ajuste de los documentos requeridos para la dinámica de juego (manual de derecho disciplinario, tips sobre derecho disciplinario y banco de preguntas).</t>
    </r>
  </si>
  <si>
    <t>La acción de manejo del riesgo se tiene programada para que sea ejecutada en el segundo semestre del año.</t>
  </si>
  <si>
    <r>
      <t>Durante el segundo trimestre se continuó registrando en el libro de revisiones los proyectos de acto administrativo enviados a revision del coordinador del Grupo de Control Interno Disciplinario, se enviaron para revisión y visto bueno</t>
    </r>
    <r>
      <rPr>
        <sz val="11"/>
        <rFont val="Arial Narrow"/>
        <family val="2"/>
      </rPr>
      <t xml:space="preserve"> </t>
    </r>
    <r>
      <rPr>
        <b/>
        <sz val="11"/>
        <rFont val="Arial Narrow"/>
        <family val="2"/>
      </rPr>
      <t>52</t>
    </r>
    <r>
      <rPr>
        <sz val="11"/>
        <color theme="1"/>
        <rFont val="Arial Narrow"/>
        <family val="2"/>
      </rPr>
      <t xml:space="preserve"> proyectos de acto administrativo cuya copia reposa en la carpeta compartida del Grupo de Control Interno Disciplinario.</t>
    </r>
  </si>
  <si>
    <t>La acción de manejo del riesgo relacionada con el diligenciamiento de la planilla de revisión de proyectos de acto administrativo viene siendo implementada satisfactoriamente para la revisión de tales actuaciones.</t>
  </si>
  <si>
    <r>
      <t xml:space="preserve">Durante el segundo trimestre se continuó registrando en el libro de préstamo de expedientes los expedientes que son prestados a los abogados comisionados, bien para sustanciar decisiones o para enviar para revisión de los proyectos de acto administrativo.  Se prestaron en el período </t>
    </r>
    <r>
      <rPr>
        <b/>
        <sz val="11"/>
        <color theme="1"/>
        <rFont val="Arial Narrow"/>
        <family val="2"/>
      </rPr>
      <t>75</t>
    </r>
    <r>
      <rPr>
        <sz val="11"/>
        <color theme="1"/>
        <rFont val="Arial Narrow"/>
        <family val="2"/>
      </rPr>
      <t xml:space="preserve"> expedientes. </t>
    </r>
  </si>
  <si>
    <t>La acción de manejo del riesgo viene siendo implementada satisfactoriamente con el diligenciamiento de la planilla de préstamo de expedientes, que incluye el número de folios al  momento del préstamo y devolución del expediente.</t>
  </si>
  <si>
    <r>
      <t xml:space="preserve">Durante el segundo trimestre se realizó la revisión física de </t>
    </r>
    <r>
      <rPr>
        <b/>
        <sz val="11"/>
        <color theme="1"/>
        <rFont val="Arial Narrow"/>
        <family val="2"/>
      </rPr>
      <t>162</t>
    </r>
    <r>
      <rPr>
        <sz val="11"/>
        <color theme="1"/>
        <rFont val="Arial Narrow"/>
        <family val="2"/>
      </rPr>
      <t xml:space="preserve"> expedientes de procesos disciplinarios activos con el fin de hacer seguimiento a la actualización de la foliación, y de ser necesario generar las alertas a los abogados responsables de la sustanciación de los mismos, y a la Secretaria del Grupo de Control Interno Disciplinario. Se generó un correo a los abogados y la Secretaria para que se revise aquellos expedientes en los que puede faltas completar la foliación o cuya foliación debe ser revisada. La verificación y ajuste fue implementada por la Secretaria del Grupo de Control Interno Disciplinario el 27/05/2019.   Este seguimiento continuará en el tercer trimestre en relación con el resto de procesos.</t>
    </r>
  </si>
  <si>
    <t xml:space="preserve">La acción de manejo del riesgo viene siendo implementada satisfactoriamente por parte de la secreataria del Grupo y los apoderados encargados de la sustanciación de los expedientes. </t>
  </si>
  <si>
    <r>
      <t>Durante el segundo trimestre del año se digitalizaron en total</t>
    </r>
    <r>
      <rPr>
        <b/>
        <sz val="11"/>
        <color theme="1"/>
        <rFont val="Arial Narrow"/>
        <family val="2"/>
      </rPr>
      <t xml:space="preserve"> 108</t>
    </r>
    <r>
      <rPr>
        <sz val="11"/>
        <color theme="1"/>
        <rFont val="Arial Narrow"/>
        <family val="2"/>
      </rPr>
      <t xml:space="preserve"> expedientes de procesos disciplinarios.  Los expedientes digitalizados se encuentran disponibles en la carpeta compartiza Z "Procesos disciplinarios" del Grupo de Control Interno Disciplinario.</t>
    </r>
  </si>
  <si>
    <t xml:space="preserve">La acción de manejo se viene implementando por parte de los abogados comisionados y la secretaria del Grupo de Control Interno Disciplinario. </t>
  </si>
  <si>
    <t>Se mantiene el control definido y se está trabajando  con el procedimiento de "GESTIÓN DE PROYECTOS TECNOLÓGICOS" Código: APO4-P-003</t>
  </si>
  <si>
    <t xml:space="preserve">Se proyectó el documento PLANES DE TRABAJO, con el fin de efectuar seguimiento y control de las acciones practicadas por los ingenieros a cargo de diferentes proyectos de Sistemas de Información. . </t>
  </si>
  <si>
    <t>No Aplica</t>
  </si>
  <si>
    <t>Se emitieron comunicados a los jefes de las dependencias de la ANM, socializando la labor del rol denominado Líder de Proyectos, previamente contratado</t>
  </si>
  <si>
    <t>En las reuniones de presentación del Sistema de Control de Calidad –celebradas el 7 y 8 de mayo de 2019- se socializó el procedimiento de "GESTIÓN DE PROYECTOS TECNOLÓGICOS" Código: APO4-P-003 y otros procedimientos derivados del proceso ADMINISTRACIÓN DE TECNOLOGÍAS E INFORMACIÓN.</t>
  </si>
  <si>
    <t xml:space="preserve">Se mantiene el control definido. También, se dispone del Instructivo ATENCIÓN A USUARIOS CÓDIGO: APO4-P-001-I-002, cuyo objetivo es proporcionar directrices para llevar a cabo la atención de incidentes y problemas informáticos reportados al Centro de Servicios Tecnológicos; éste aplica al personal del centro de servicios tecnológicos y al personal de segundo y tercer nivel que brinda soporte a los usuarios de la Entidad.    </t>
  </si>
  <si>
    <t>De acuerdo con los procedimientos procedimientos de "GESTIÓN DE REQUERIMIENTOS Y USUARIOS" y  "GESTIÓN DE INCIDENTES" , se proyectaron informes mensuales de seguimiento a la atención de usuarios y Mesa de Ayuda -correspondientes a abril, mayo y junio de 2019-. También, se proyectó Informe correspondiente al segundo trimestre de 2019.</t>
  </si>
  <si>
    <t>El responsable designado, profesional de Mesa de Ayuda, emitió los informes de seguimiento.</t>
  </si>
  <si>
    <t>Reporte Acuerdos de Niveles de Servicio -ANS- generado, a través de la herramienta Aranda.</t>
  </si>
  <si>
    <t xml:space="preserve">Se está efectuando la contratación del servicio cuyo objeto es: " Contratación del servicio de mesa de Ayuda y el mantenimiento preventivo y correctivo para los equipos de cómputo, periféricos y servidores de la Agencia Nacional de Minería."  </t>
  </si>
  <si>
    <t>Se mantiente el seguimiento y control definido</t>
  </si>
  <si>
    <t>De acuerdo con los procedimientos procedimientos de "GESTIÓN DE REQUERIMIENTOS Y USUARIOS" y  "GESTIÓN DE INCIDENTES" , se proyectaron informes de seguimiento a la atención de usuarios y Mesa de Ayuda -correspondientes a abril, mayo y junio de 2019-. También, se proyectó Informe correspondiente al segundo trimestre de 2019.</t>
  </si>
  <si>
    <t>Se suscribió el contrato –COMUNICACIÓN DE ACEPTACIÓN DE OFERTA No. ANM 174 de 2019-, según proceso SMC-002 de 2019, cuyo objeto es: Adquisición de medios de respaldo para la información de la Agencia Nacional de Minería.    Se realiza periódicamente la generación de Backups, verificando se correcta ejecución y proceso de recuperación.</t>
  </si>
  <si>
    <t>Se está adelantando el proceso de contratación del Servicio de Seguridad Informática, incluyendo el Análisis de Vulnerabilidades.</t>
  </si>
  <si>
    <t>Se agregó el siguiente control:  Se dispone del procedimiento de "SEGURIDAD DE LOS SISTEMAS DE INFORMACION", CÓDIGO: APO4-P-004,  cuyo objetivo es: Proteger los sistemas de información de la Agencia Nacional de Minería, con sus correspondientes bases de datos y la infraestructura tecnológica que los soporta, garantizando la conformidad con las políticas de seguridad establecidas en la entidad, asimismo asegurando la confidencialidad, integridad, disponibilidad de la información.     Se mantiente el seguimiento y control definido</t>
  </si>
  <si>
    <t xml:space="preserve">En las reuniones de presentación del Sistema de Control de Calidad –celebradas el 7 y 8 de mayo de 2019- se describieron los procedimientos de ADMINISTRACIÓN DE INFRAESTRUCTURA TECNOLÓGICA APO4-P-002 y ADMINISTRACIÓN DE BASES DE DATOS Y APLICACIONES APO4-P-005. </t>
  </si>
  <si>
    <t xml:space="preserve">No </t>
  </si>
  <si>
    <t xml:space="preserve">Se proyectó documento denominado Plan de Restauración de Backup. También, se proyectó el documento PLAN ADMINISTRACION DE BASES DE DATOS Y APLICACIONES.                    </t>
  </si>
  <si>
    <t>Se han realizado de manera exitosa las ventanas de mantenimiento programadas y se cuentan con los líderes definidos para cada servicio de TI.</t>
  </si>
  <si>
    <t>Se efectuó seguimiento de las actividades de monitoreo a la infraestructura de servicios (aplicaciones), roles, sitios web, entre otros, desde la plataforma System Center Operation Manager SCOM.</t>
  </si>
  <si>
    <t xml:space="preserve">Se proyectan informes de Monitoreo mensual a las Bases de Datos y Servidores. </t>
  </si>
  <si>
    <t>Se está estructurando el proceso (ESTUDIO DE MERCADO OTI-004-19)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que está en fase de presentación de oferta.                                          En las reuniones de presentación del Sistema de Control de Calidad –celebradas el 7 y 8 de mayo de 2019- se describieron los procedimientos SEGURIDAD DE LOS SISTEMAS DE INFORMACIÓN COPIAS DE SEGURIDAD, GESTIÓN DE VULNERABILIDADES, GESTIÓN DE ACTIVOS DE INFORMACIÓN, GESTIÓN DE REQUERIMIENTOS Y USUARIOS y GESTIÓN DE INCIDENTES.</t>
  </si>
  <si>
    <t>Se está estructurando nuevamente el proceso para la contratación del Oficial de Seguridad de la Información de la Entidad, puesto que el profesional designado inicialmente, mediante contratoANM-214 de 2019, suscrito en junio de 2019, desistió. De igual forma, se está estructurando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que está en evento de cotización.   Se está adelantando el seguimiento al correcto funcionamiento de las políticas de seguridad definidas.</t>
  </si>
  <si>
    <t>Se está estructurando el proceso (ESTUDIO DE MERCADO OTI-004-19)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que está en fase de presentación de oferta.</t>
  </si>
  <si>
    <t>En las reuniones de presentación del Sistema de Control de Calidad –celebradas el 7 y 8 de mayo de 2019- se describió el proceso ADMINISTRACIÓN DE TECNOLOGÍAS E INFORMACIÓN.</t>
  </si>
  <si>
    <t xml:space="preserve">Se realiza la adecuada gestión a las contraseñas administrativas y se tienen sepadarados los ambientes </t>
  </si>
  <si>
    <t xml:space="preserve">Se está estructurando el proceso (ESTUDIO DE MERCADO OTI-004-19)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que está en fase de presentación de oferta.       </t>
  </si>
  <si>
    <t>Se encuentra en revisión el procedimiento de CONTINUIDAD DEL SERVICIO TECNOLÓGICO</t>
  </si>
  <si>
    <t>Se está estructurando nuevamente el proceso para la contratación del Oficial de Seguridad de la Información de la Entidad, puesto que el profesional designado inicialmente, mediante contratoANM-214 de 2019, suscrito en junio de 2019, desistió. De igual forma, se está estructurando el proceso cuyo objeto es: “Contratar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 que está en evento de cotización.</t>
  </si>
  <si>
    <t>Se mantiene el control de los cambios de la plataforma tecnológica, a través de la herramienta ARANDA, según procedimiento</t>
  </si>
  <si>
    <t>En las reuniones de presentación del Sistema de Control de Calidad –celebradas el 7 y 8 de mayo de 2019- se realizó exposición de los procedimientos SEGURIDAD DE LOS SISTEMAS DE INFORMACION/APO4-P-004 y GESTIÓN DE CAMBIOS TECNOLÓGICOS/APO4-P-010.</t>
  </si>
  <si>
    <t>Semanalmente se celebran reuniones para control de cambios, donde se analizan los casos relacionados con solicitudes emitidas por los usuarios e ingenieros de la Oficina de Tecnología e Información. También, se establecen las acciones que se deben practicar, las ventanas de mantenimiento que se deben emitir y los horarios –garantizando que las prácticas que generen indisponibilidad se realicen en horarios NO laborales-.  Se mantiene el control de los cambios de la plataforma tecnológica y la revisión de los desarrollos de software previo a los pasos a producción.</t>
  </si>
  <si>
    <t xml:space="preserve">Se está efectuando la contratación del servicio cuyo objeto es: " Contratación del servicio de mesa de Ayuda y el mantenimiento preventivo y correctivo para los equipos de cómputo, periféricos y servidores de la Agencia Nacional de Minería."    Se está estructurando nuevamente el proceso para la contratación del Oficial de Seguridad de la Información de la Entidad, puesto que el profesional designado inicialmente (John Jairo Enciso), mediante contratoANM-214 de 2019, suscrito en junio de 2019, desistió.  </t>
  </si>
  <si>
    <t>Se mantienen los controles definidos a través de la distribución de las tareas entre los diferentes roles y contratistas de OTI.</t>
  </si>
  <si>
    <t>Se está efectuando la contratación del servicio cuyo objeto es: " Contratación del servicio de mesa de Ayuda y el mantenimiento preventivo y correctivo para los equipos de cómputo, periféricos y servidores de la Agencia Nacional de Minería."    Se está estructurando nuevamente el proceso para la contratación del Oficial de Seguridad de la Información de la Entidad, puesto que el profesional contratado inicialmente (John Jairo Enciso), mediante contratoANM-214 de 2019, suscrito en junio de 2019, desistió.</t>
  </si>
  <si>
    <r>
      <t xml:space="preserve">1. Se elaboró el calendario anual de cierre de la vigencia 2018, a través de la  circular 007 de 2018.
* Se elaboró el calendario tributario para la vigencia 2019.   
</t>
    </r>
    <r>
      <rPr>
        <b/>
        <sz val="11"/>
        <rFont val="Arial Narrow"/>
        <family val="2"/>
      </rPr>
      <t xml:space="preserve">Evidencias: </t>
    </r>
    <r>
      <rPr>
        <sz val="11"/>
        <rFont val="Arial Narrow"/>
        <family val="2"/>
      </rPr>
      <t>Circular 007 de 2018, Calendario tributario ANM 2019.</t>
    </r>
  </si>
  <si>
    <r>
      <t xml:space="preserve">2. Se realizó la conciliación de las cuentas bancarias de la ANM con corte 31 de mayo. La conciliación de las cuentas correspondientes al mes de junio están en poceso,  debido a que el cierre contable del trimestre es el 31 de julio de 2019.
</t>
    </r>
    <r>
      <rPr>
        <b/>
        <sz val="11"/>
        <rFont val="Arial Narrow"/>
        <family val="2"/>
      </rPr>
      <t>Evidencia:</t>
    </r>
    <r>
      <rPr>
        <sz val="11"/>
        <rFont val="Arial Narrow"/>
        <family val="2"/>
      </rPr>
      <t xml:space="preserve"> Las conciliaciones se encuentran en físico firmadas y reposan en contabilidad.</t>
    </r>
  </si>
  <si>
    <r>
      <t xml:space="preserve">2. Se realizó la conciliación de las cuentas bancarias de la ANM con corte 31 de mayo. La conciliación de las cuentas correspondientes al mes de junio están en poceso,  debido a que el cierre contable del trimestre es el 31 de julio de 2019.
</t>
    </r>
    <r>
      <rPr>
        <b/>
        <sz val="11"/>
        <rFont val="Arial Narrow"/>
        <family val="2"/>
      </rPr>
      <t xml:space="preserve">Evidencia: </t>
    </r>
    <r>
      <rPr>
        <sz val="11"/>
        <rFont val="Arial Narrow"/>
        <family val="2"/>
      </rPr>
      <t>Las conciliaciones se encuentran en físico firmadas y reposan en contabilidad.</t>
    </r>
  </si>
  <si>
    <r>
      <t xml:space="preserve">3. El personal de contabiidad del Grupo de Recursos Financieros para el segundo trimestre asistieron a la capacitacion "Lanzamiento de Régimen Simple de Tributación" organizada por la Cámara de Comercio de Bogotá.
</t>
    </r>
    <r>
      <rPr>
        <b/>
        <sz val="11"/>
        <rFont val="Arial Narrow"/>
        <family val="2"/>
      </rPr>
      <t xml:space="preserve">Evidencia: </t>
    </r>
    <r>
      <rPr>
        <sz val="11"/>
        <rFont val="Arial Narrow"/>
        <family val="2"/>
      </rPr>
      <t>Capacitación.</t>
    </r>
  </si>
  <si>
    <t>3. El personal de contabiidad del Grupo de Recursos Financieros para el segundo trimestre asistieron a la capacitacion "Lanzamiento de Régimen Simple de Tributación" organizada por la Cámara de Comercio de Bogotá.
Evidencia: Capacitación.</t>
  </si>
  <si>
    <r>
      <t xml:space="preserve">1. Todas las solicitudes de devolución que llegan al Grupo de Recursos Financieras, pasan por una verificación de cumplimiento de requisitos, lo cual se realiza a través de unas listas de chequeo, en caso de no cumplir con los documentos requeridos se envía un comunicado al solicitante con el fin de hacerle el requerimiento de lo faltante.
</t>
    </r>
    <r>
      <rPr>
        <b/>
        <sz val="11"/>
        <rFont val="Arial Narrow"/>
        <family val="2"/>
      </rPr>
      <t>Evidencia:</t>
    </r>
    <r>
      <rPr>
        <sz val="11"/>
        <rFont val="Arial Narrow"/>
        <family val="2"/>
      </rPr>
      <t>Check list Solicitud Devolución Res. 738 del 2013, CheckList Solicitud Devolución Res. 313 del 2018. comunicado abril.</t>
    </r>
  </si>
  <si>
    <r>
      <t xml:space="preserve">1. Todas las solicitudes de devolución que llegan al Grupo de Recursos Financieras, pasan por una verificación de cumplimiento de requisitos, lo cual se realiza a través de unas listas de chequeo, en caso de no cumplir con los documentos requeridos se envía un comunicado al solicitante con el fin de hacerle el requerimiento de lo faltante.
</t>
    </r>
    <r>
      <rPr>
        <b/>
        <sz val="11"/>
        <rFont val="Arial Narrow"/>
        <family val="2"/>
      </rPr>
      <t xml:space="preserve">Evidencia: </t>
    </r>
    <r>
      <rPr>
        <sz val="11"/>
        <rFont val="Arial Narrow"/>
        <family val="2"/>
      </rPr>
      <t>Check list Solicitud Devolución Res. 738 del 2013, CheckList Solicitud Devolución Res. 313 del 2018, comunicado abril.</t>
    </r>
  </si>
  <si>
    <r>
      <t xml:space="preserve">1.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t>
    </r>
    <r>
      <rPr>
        <b/>
        <sz val="11"/>
        <rFont val="Arial Narrow"/>
        <family val="2"/>
      </rPr>
      <t>Evidencia:</t>
    </r>
    <r>
      <rPr>
        <sz val="11"/>
        <rFont val="Arial Narrow"/>
        <family val="2"/>
      </rPr>
      <t xml:space="preserve"> Reporte de rechazos abril-junio.</t>
    </r>
  </si>
  <si>
    <t>Cumplda</t>
  </si>
  <si>
    <t>Se programo las visitas a las sedes en el cronograma de toma física el cual inicia el próximo 15 de Junio de 2019 en la ciudad de bogota, actualmente se realiza las toma fisica de los Puntos de Atencion Regional. Proceso que finalizara en el mes de Diciembre.</t>
  </si>
  <si>
    <t>toma fisica sede central finalizada.</t>
  </si>
  <si>
    <t>En Proceso</t>
  </si>
  <si>
    <t>Se implemento el aplicativo para la individualización de los inventarios a cargo de los funcionarios y contratistas mediante el aplicativo websafi se actulizan los traslados de toma fisica de inventarios para la sede de Bogota la cual finalizo la toma fisica. una vez adelantadas las visitas a los pUntos de atencion regional se realizaaran los respectivos traslados, actividad que se encuentra en ejecucion.</t>
  </si>
  <si>
    <t>Se finaliza la toma fisica de inventarios en la ciudad de bogota se procede a programar cronograma cobn los puntos de atencion regional y estaciones de salvamento y seguridad minera.</t>
  </si>
  <si>
    <t>se finaliza la toma fisica de la sede central (bogota) y se inicia con la toma fisica nacional por el PAR Cartagena.</t>
  </si>
  <si>
    <t>Nos encontramos a la espera de la suscripción de los convenios con el SENA para dar continuidad al cronograma.</t>
  </si>
  <si>
    <t>Se  solicito reunión con el SENA para adelantar el proceso de firma del convenio interadministrativo con el SENA, para el traslado de la sede Amagá a la sede de dicha entidad ubicada en la vereda La Salada del municipio de Caldas. así mismo finalizo el avaluo por parte del  IGAC para el predio actual de amaga y se encuentra en gestion el avaluo del lote que sera adquirido por la entidad en este mismo municipio.</t>
  </si>
  <si>
    <t>Actualmente el indicador se encuentra asignado al grupo de planeación</t>
  </si>
  <si>
    <t>Se entrega informe emitido por el SIIF con las obligaciones del segundo Trimestre respecto de los contratos a cargo del grupo de servicios administrativos.</t>
  </si>
  <si>
    <t xml:space="preserve">mediante informe de pagos del SIIF se verifica el cumplimiento de las obligaciones con los contratistas </t>
  </si>
  <si>
    <t>1.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2. En el momento de la radicación de la solicitud de proceso, el funcionario a cargo de la publicación del PAA verifica que el objeto contractual se encuentre registrado en el respectivo plan.</t>
  </si>
  <si>
    <t>En las carpetas contractuales se puede evidenciar sobre el memorando de solicitud de proceso, la rubrica respectiva  por parte del profesional a cargo de verificar el PAA que evidencia que el proceso o contrato se encutra debidamente registrado.
Se adjunta como evidencia para riesgo 1 acción 1 la minuta contractual correspondiente al Contrato de Prestación de Servicios Profesionales SGR-326-19 suscrito con el Señor Ricardo Blanco Jimenez y la solicitud de contrato correspondiente que se registra en la hoja 1 de los soportes contractuales.</t>
  </si>
  <si>
    <t>1. El Grupo de contratación ha implementado la bitácora de liquidaciones en donde se registran los contratos a liquidar y el estado del proceso de liquidación.</t>
  </si>
  <si>
    <t xml:space="preserve">Actualmente se ha dispuesto personal a cargo de la actualización de la bitácora de liquidación y el requerimiento respectivo a las áreas correspondientes con miras al cumplimiento de la obligación de liquidar dentro de los términos legalmente previstos.
Se anexa como soporte la bitácora de liquidación con ajuste al segundo trimestre del año 2019, debidamente actualizada. </t>
  </si>
  <si>
    <t>1. El acceso a las carpetas físicas se encuentra restringido permitiéndose solamente la solicitud puntual de documentos que previa digitalización son suministrados al requirente vía correo electrónico. En casos excepcionales como por ejemplo solicitudes entes de control y auditorias se suministra el físico con constancia de entrega de la misma.
2. En el presente año y hasta el 10/03/2019 se utilizó la plataforma SECOP II, contando en consecuencia con carpeta contractual electrónica en paralelo con soporte físico al cual hubo que recurrir a partir del 11/03/2019 como soporte total en razón al cierre de la plataforma Secop II para contratación directa (convenios administrativos, prestación de servicios, etc.).</t>
  </si>
  <si>
    <r>
      <t xml:space="preserve">Actualmente todas las carpetas que han ingresado al archivo contractual a  cargo del Grupo de Contratación de la VAF se encuentran debidamente foliadas previa verificación de la incorporación de todos los documentos pertinentes.
</t>
    </r>
    <r>
      <rPr>
        <sz val="11"/>
        <color rgb="FFFF0000"/>
        <rFont val="Arial Narrow"/>
        <family val="2"/>
      </rPr>
      <t xml:space="preserve">
</t>
    </r>
    <r>
      <rPr>
        <sz val="11"/>
        <rFont val="Arial Narrow"/>
        <family val="2"/>
      </rPr>
      <t>Se anexa carpeta correspondiente al Contrato de Prestación de Servicios ANM-148-19 sucrito con Juanm Carlos Suarez debidamente foliada en su integridad,</t>
    </r>
  </si>
  <si>
    <t>1. Actualmente se realiza conforma  la normatividad vigente evaluación de desempeño a los funcionarios que hacen parte del Grupo de Contratación de la VAF y se verifica el cumplimiento de las obligaciones contractuales por parte del grupo de abogados y personal de apoyo. (Funcionarios 7, contratistas 8).</t>
  </si>
  <si>
    <t xml:space="preserve">Se realizó evaluación del desempeño a funcionarios en el mes de febrero de 2019, y se incorporaron los compromisos para la vigencia 2019 en la plataforma SEDEL, sin que se reporte baja calificación a los funcionarios
Al momento de tramitar las cuentas para contratistas se verifica cumplimiento a través del informe de supervisión, sin que se reporte para el segundo trimestre del año 2019 se reporte algún tipo de incumplimiento.
</t>
  </si>
  <si>
    <t>En el POA quedó programada para ejecución en los trimestres segundo y cuarto del presente año.</t>
  </si>
  <si>
    <t>El día 30 de junio se realizó jornada de capacitación en procedimiento contractual en la que se procuró una primera socialización del procedimiento que próximamente se implementará teniendo en cuenta principalmente los ajustes derivados del retiro de contratación directa para SECOP II según los lineamientos dados por Colombia Compra Eficiente.
Se anexa como evidencia el listado de asistencia correspondiente.</t>
  </si>
  <si>
    <t>Para los actos administrativos con pluralidad de oferentes se esta cumpliendo con esta labor, para contratos de prestación de servicios hasta el 10 de marzo de 2019 se realizó en este aplicativo.</t>
  </si>
  <si>
    <t>Verificada la actividad de publicación de documentos contractuales, se observa que en relación con pluralidad de oferentes, en tanto nos mantenemos en SECOP II, la publicación de los documentos se genera en tiempo real a través de dicha plataforma. Se anexa publicación de proceso de selección correspondiente a Gestor de Medios SA-MC-012-19. 
En lo que tiene que ver con la publicación derivada de contratación directa se han  presentado algunos inconvenientes generados por la imposibilidad de publicar los contratos antes de que se cuente con el dato de registro presupuestal, motivo por el cual se ha requerido al área financiera para que informe a la mayor brevedad y en todo caso antes de los tres días siguientes a la solicitud de registro, para respetar los términos de publicación.
Se adjunta como soporte requerimiento al área financiera  a través de correo electrónico.</t>
  </si>
  <si>
    <t>Se realiza socialización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</si>
  <si>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</si>
  <si>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CUMPLIDA PRIMER TRIMESTRE</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</si>
  <si>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</si>
  <si>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</si>
  <si>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</si>
  <si>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</si>
  <si>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Se envía comunicaciones a los distintos grupos encargados de realizar la corrección o actualización correspondiente.</t>
  </si>
  <si>
    <t>Se envían correos electrónicos solicitando la actualización de la información requerida por el GIAM para cumplir adecuadamente sus funciones.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</si>
  <si>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</si>
  <si>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aleatorio a expedientes previamente notificados verificando si se han cumplido los términos estipulados.</t>
  </si>
  <si>
    <t>Se realiza la actualización de las tablas y bases de datos utilizadas por el grupo en los tramites de notificación para llevar el control de términos en las notificaciones de los actos administrativos.</t>
  </si>
  <si>
    <t>Se realiza el seguimiento a las tablas de bases de datos y aleatoriamente a los expedientes previamente notificados verificando si se han cumplido los términos estipulados.</t>
  </si>
  <si>
    <t>CUMPLIDA</t>
  </si>
  <si>
    <t>Se solicita la contratación de personal idónea para llevar acabo las actividades de notificación en el Grupo de Información y Atención al Minero.</t>
  </si>
  <si>
    <t>Se realiza la contratación de personal necesario para el grupo.</t>
  </si>
  <si>
    <t>Se realiza la debida verificaron de las planillas y memorandos que ingresen a GIAM</t>
  </si>
  <si>
    <t>Se realiza el archivo físico en carpetas de todas las planillas y memorandos para llevar soporte y evidencia de lo recibido y entregado a los distintos grupos de la Agencia.</t>
  </si>
  <si>
    <t>Se realiza la socialización con los parámetros y la correcta manera de custodiar los expedientes  con el propósito correcto en el aplicativo CMC.</t>
  </si>
  <si>
    <t>Se lleva la verificación y el control en CMC de que se esté custodiando acorde a los propósitos establecidos.</t>
  </si>
  <si>
    <t>Se solicitó a todos los funcionarios y contratistas del grupo de Información y Atención al Minero la debida foliación de los oficios generados, así mismo de la correspondencia archivada a los expedientes.</t>
  </si>
  <si>
    <t>Se lleva una tabla de base de datos con la correspondencia asignada al grupo para ser archivada a los expedientes a cargo.</t>
  </si>
  <si>
    <t>Se realiza la actualización del formato de entrega (relación de expedientes) con apoyo del personal de vigilancia y el Grupo de Servicios Administrativos.</t>
  </si>
  <si>
    <t>El personal de vigilancia hace obligatoria la presentación de estos formatos para poder salir de las instalaciones del grupo de información y atención al minero dejando registrado el piso al cual se dirigen los expedientes.</t>
  </si>
  <si>
    <t>Se establece el debido formato de préstamo de expedientes donde se dejara en evidencia la información necesaria de la persona que solicita el préstamo.</t>
  </si>
  <si>
    <t>Los funcionarios y contratistas que presten expedientes a usurarios externos tendrán la obligación de requerir y verificar ese formato debidamente diligenciado para poder hacer efectivo el préstamo de los expedientes.</t>
  </si>
  <si>
    <t>Se envíaron los correos de seguimiento de la gestión de PQRS de manera semanal, con el fin de que no se venzan los términos de alguna comunicación, a los vicepresidentes, coordinadores y enlaces correspondientes.</t>
  </si>
  <si>
    <t>Se revisaron uno a uno los radicados de PQRS y se asociaron las respuestas reportadas por las áreas.</t>
  </si>
  <si>
    <r>
      <rPr>
        <b/>
        <sz val="11"/>
        <color theme="1"/>
        <rFont val="Arial Narrow"/>
        <family val="2"/>
      </rPr>
      <t>1.</t>
    </r>
    <r>
      <rPr>
        <sz val="11"/>
        <color theme="1"/>
        <rFont val="Arial Narrow"/>
        <family val="2"/>
      </rPr>
      <t xml:space="preserve"> La información especifica requerida para la atención de consultas de promocion minera, se gestionan con las dependencias correspondientes previo envio de las respuestas. La gestion de las consultas se reporta en la base de datos. (Evidencia: Base de datos de consultas, soportes de consultas gestionadas) Ubicacion de la evidencia: </t>
    </r>
    <r>
      <rPr>
        <i/>
        <u/>
        <sz val="10"/>
        <color theme="1"/>
        <rFont val="Arial Narrow"/>
        <family val="2"/>
      </rPr>
      <t xml:space="preserve">Y:\PROMOCION\2019\Atención a inversionistas\Consultas 
Y:\PROMOCION\2019\Atención a inversionistas\Consultas\Trimestre I\Correos electrónicos
Y:\PROMOCION\2019\Atención a inversionistas\Consultas\Trimestre II\Correos electrónicos
</t>
    </r>
    <r>
      <rPr>
        <b/>
        <sz val="11"/>
        <color theme="1"/>
        <rFont val="Arial Narrow"/>
        <family val="2"/>
      </rPr>
      <t>2.</t>
    </r>
    <r>
      <rPr>
        <sz val="11"/>
        <color theme="1"/>
        <rFont val="Arial Narrow"/>
        <family val="2"/>
      </rPr>
      <t xml:space="preserve"> Las consultas o requerimientos contestados mediante oficio, son revisados y validados por el Gerente de Promoción (Evidencia: Oficios respuesta del Grupo de promoción) Ubicacion de la evidencia: 
</t>
    </r>
    <r>
      <rPr>
        <i/>
        <u/>
        <sz val="10"/>
        <color theme="1"/>
        <rFont val="Arial Narrow"/>
        <family val="2"/>
      </rPr>
      <t xml:space="preserve">Y:\PROMOCION\2019\Atención a inversionistas\Consultas\Trimestre I\Correos electrónicos
Y:\PROMOCION\2019\Atención a inversionistas\Consultas\Trimestre II\Correos electrónicos
</t>
    </r>
    <r>
      <rPr>
        <b/>
        <sz val="11"/>
        <color theme="1"/>
        <rFont val="Arial Narrow"/>
        <family val="2"/>
      </rPr>
      <t>3.</t>
    </r>
    <r>
      <rPr>
        <sz val="11"/>
        <color theme="1"/>
        <rFont val="Arial Narrow"/>
        <family val="2"/>
      </rPr>
      <t xml:space="preserve"> No se ha requerido el envio de correcciones o subsanaciones (Evidencia: Base de datos de consultas) Ubicacion de la evidencia: </t>
    </r>
    <r>
      <rPr>
        <i/>
        <u/>
        <sz val="10"/>
        <color theme="1"/>
        <rFont val="Arial Narrow"/>
        <family val="2"/>
      </rPr>
      <t xml:space="preserve">Y:\PROMOCION\2019\Atención a inversionistas\Consultas </t>
    </r>
    <r>
      <rPr>
        <sz val="11"/>
        <color theme="1"/>
        <rFont val="Arial Narrow"/>
        <family val="2"/>
      </rPr>
      <t xml:space="preserve">
</t>
    </r>
  </si>
  <si>
    <t>Se realizó en el mes de febrero reunión en el grupo de promoción para la identificación de condiciones y/o aspectos a tener en cuenta para la gestión de consultas, el envio de la información actualizada y correcta, el tratamiento en caso de envio de informacion errónea y la trazabilidad de la gestión adelantada. (Evidencia: Acta de reunión de Comite de Gerencia del mes de febrero y listado de asistencia)
Se socializó en el mes de Julio la anterior infomación al grupo de promocion, teniendo en cuenta los cambios presentados de personal en el primer semestre del año, con el fin de garatizar su conocimiento y cumplimiento.(Evidencia: Acta de reunión y Presentacion de Comite de Gerencia del mes de julio)</t>
  </si>
  <si>
    <t xml:space="preserve">No se ha requerido el envio de correcciones o subsanaciones  (Evidencia: Base de datos de consultas) </t>
  </si>
  <si>
    <t>1. Se realizará auditoria el día 24 de julio de 2019, del trimestre comprendido entre el 01 de abril de 2019 hasta 30 de junio de 2019.</t>
  </si>
  <si>
    <t>Se han realizado dos reuniones donde se  impartieron directrices por parte de la Gerente de Catastro y Registro Minero para el alistamiento de los puntos a tratar en la auditoria.</t>
  </si>
  <si>
    <t>SI</t>
  </si>
  <si>
    <t>1. Dentro de los actos administrivos recibidos con información consistente en el Grupo de Catastro y Registro Minero se evidenciaron que 9 fueron inscritos por fuera de término.</t>
  </si>
  <si>
    <t xml:space="preserve">1. Semanalmente se reuniran el Gerente de Castatro y Registro Minero y el equipo de inscripciones, para realizar seguimiento a las anotaciones recibidas el viernes anterior a la reunión; todo ello con la finalidad de garantizar y mejorar los tiempos de inscripción en el Registro Minero Nacional.
</t>
  </si>
  <si>
    <t>1. Realizar auditoria trimestral por parte del Gerente del Grupo de Catastro y Registro Minero.</t>
  </si>
  <si>
    <t>En respuesta al memorando 20193410284853  enviado a la Presidenta, la Vicepresidenta Administrativa y Financiera mediante memorando No. 20195400278243 informò que se procediò a solicitar concepto a la OAJ  y se exhortó a remitir la solciitud  de concepto a la Sala de Consulta y servicio Civil del Consejo de estado  a travès de la OAJ del MME, mediante memorando No 20195400278153.</t>
  </si>
  <si>
    <t>Se continua con el proceso de seguimiento para la obtención de los lineamientos de la disponibilidad de los funcionarios de las ESSM y PASSM para la atención de emergencias.</t>
  </si>
  <si>
    <t>N.A.</t>
  </si>
  <si>
    <t>En las estaciones de Seguridad y salvamento Minero se cumpliò con el Plan de Trabajo Anual de calibración de equipos</t>
  </si>
  <si>
    <t xml:space="preserve">Se continua con el seguimiento por parte de los lideres de las ESSM y PASSM del Plan Operativo Anual  de calibración de equipos. </t>
  </si>
  <si>
    <r>
      <rPr>
        <b/>
        <sz val="11"/>
        <color theme="1"/>
        <rFont val="Arial Narrow"/>
        <family val="2"/>
      </rPr>
      <t>Control 1:</t>
    </r>
    <r>
      <rPr>
        <sz val="11"/>
        <color theme="1"/>
        <rFont val="Arial Narrow"/>
        <family val="2"/>
      </rPr>
      <t xml:space="preserve"> Se han realizado filtro aleatorios en las evaluaciones técnicas lo cual se evidencia en la base de datos de la coordinación donde se advierte las revisiones realizadas a las evaluaciones
</t>
    </r>
    <r>
      <rPr>
        <b/>
        <sz val="11"/>
        <color theme="1"/>
        <rFont val="Arial Narrow"/>
        <family val="2"/>
      </rPr>
      <t xml:space="preserve">Control 2: </t>
    </r>
    <r>
      <rPr>
        <sz val="11"/>
        <color theme="1"/>
        <rFont val="Arial Narrow"/>
        <family val="2"/>
      </rPr>
      <t>Se ha priorizado el reparto atendiendo criterios de antigüedad de las propuestas, las que pueden ser viabilizadas, las rechazadas y todo lo concerniente con el relacionamiento con con territorio. Lo anterior con el fin de optimizar la gestión y lograr mejores resultados en las metas propuestas</t>
    </r>
  </si>
  <si>
    <t xml:space="preserve">
Para el segundo trimestre causado, en la operaciòn del proceso no hubo cambios que alteraran  el mismo, por tanto no fue necesario impartir nuevas directrices por ende  se mantuvieron las mismas que fueron  impartidas en el trimestre anterior  en consecuencia no se consideró racional convocar nuevas reuniones para repetir las mismas directrices</t>
  </si>
  <si>
    <t>El coordinador revisa los conceptos técnicos y da su visto bueno cuando el concepto esta bien de modo contrario solicita  correcciones.
El procedimiento es el siguiente: el profesional técnico elabora el concepto técnico, luego lo envia mediante correo electronico al coordinador solicitando la revisión del mismo. El coordinador procede a revisar el contenido del concepto técnico (definición  de área y contenido del concepto) y mediante correo electronico envia al profesional  el concepto técnico con los comentarios de los aspectos a corregir o bien el visto bueno. Si hubo aspectos a corregir el profesional técnico realiza correcciones(comentarios en el documento) y nuevamente envia correo electronico para revision y visto bueno. luego la evidencia de la revision corresponde a los correos electronicos que contienen el visto bueno de aprobación del  del concepto. Con el visto bueno de aprobacion el profesional tecnico procede a enumerar el concepto y lo incluye en la base de datos de consecutivos de evaluaciones técnicas.</t>
  </si>
  <si>
    <t>El coordinador revisa que los conceptos que filtró esten contenidos en  la base de datos de evaluaciones técnicas(tablero de control de los conceptos tecnicos proferidos) en la cual los profesionales debieron incluir los conceptos tecnicos ya que los mismos deben ser numerados descendentemente y actualizados por el profesional que elaboro concepto tecnico despues de recibir el visto bueno</t>
  </si>
  <si>
    <r>
      <rPr>
        <b/>
        <sz val="11"/>
        <color theme="1"/>
        <rFont val="Arial Narrow"/>
        <family val="2"/>
      </rPr>
      <t xml:space="preserve">1. </t>
    </r>
    <r>
      <rPr>
        <sz val="11"/>
        <color theme="1"/>
        <rFont val="Arial Narrow"/>
        <family val="2"/>
      </rPr>
      <t xml:space="preserve">El programa Anual de Eventos para la Vigencia 2019, se encuentra consolidado y aprobado (Evidencias: Programa de Eventos, Acta  de Reunión, Listado de asistencia) Ubicacion evidencias: </t>
    </r>
    <r>
      <rPr>
        <i/>
        <u/>
        <sz val="10"/>
        <color theme="1"/>
        <rFont val="Arial Narrow"/>
        <family val="2"/>
      </rPr>
      <t>Y:\PROMOCION\2019\Eventos\PROGRAMA ANUAL DE EVENTOS</t>
    </r>
    <r>
      <rPr>
        <sz val="11"/>
        <color theme="1"/>
        <rFont val="Arial Narrow"/>
        <family val="2"/>
      </rPr>
      <t xml:space="preserve"> 
</t>
    </r>
    <r>
      <rPr>
        <b/>
        <sz val="11"/>
        <color theme="1"/>
        <rFont val="Arial Narrow"/>
        <family val="2"/>
      </rPr>
      <t xml:space="preserve">2. </t>
    </r>
    <r>
      <rPr>
        <sz val="11"/>
        <color theme="1"/>
        <rFont val="Arial Narrow"/>
        <family val="2"/>
      </rPr>
      <t xml:space="preserve">Se llevó a cabo el seguimiento durante la organización / preparación de la logística necesaria para la participación de la ANM en 3 eventos de promoción del sector minero (PDAC en Canadá, LADU en Australia y Congreso Nacional de Mineria organizado por la ACM en Cartgena). (Evidencias: Lista de chequeo por evento, Caracterización de cada evento) Ubicación evidencias: </t>
    </r>
    <r>
      <rPr>
        <i/>
        <u/>
        <sz val="10"/>
        <color theme="1"/>
        <rFont val="Arial Narrow"/>
        <family val="2"/>
      </rPr>
      <t>Y:\PROMOCION\2019\Eventos\INTERNACIONALES\01 PDAC\PROCEDIMIENTO
Y:\PROMOCION\2019\Eventos\INTERNACIONALES\02 LADU\PROCEDIMIENTO
Y:\PROMOCION\2019\Eventos\NACIONALES\1_ACM\PROCEDIMIENTO</t>
    </r>
    <r>
      <rPr>
        <sz val="11"/>
        <color theme="1"/>
        <rFont val="Arial Narrow"/>
        <family val="2"/>
      </rPr>
      <t xml:space="preserve">
</t>
    </r>
    <r>
      <rPr>
        <b/>
        <sz val="11"/>
        <color theme="1"/>
        <rFont val="Arial Narrow"/>
        <family val="2"/>
      </rPr>
      <t xml:space="preserve">3. </t>
    </r>
    <r>
      <rPr>
        <sz val="11"/>
        <color theme="1"/>
        <rFont val="Arial Narrow"/>
        <family val="2"/>
      </rPr>
      <t>En lo corrido del año, no se han realizado eventos de promoción liderados por la ANM por lo cual no se ha presentado cancelación de algun evento</t>
    </r>
  </si>
  <si>
    <t>Se realizó segumiento detallado a la organización / preparación de la logística necesaria para la partcipación de la ANM en cada uno de los eventos de promoción realizados durante el primer semestre del año dando cumplimiento al programa anual de eventos. En el primer semestre de 2019, no se presentaron novedades en la ejecucion del plan. (Evidencias: Lista de chequeo por evento, Caracterización de cada evento)
La reunión de seguimiento a eventos del primer semestre y de planificación del segundo semestre, se llevó a cabo el 10 de julio (Evidencias: Acta de reunión de planificación y seguimiento a eventos)</t>
  </si>
  <si>
    <r>
      <rPr>
        <b/>
        <sz val="11"/>
        <rFont val="Arial Narrow"/>
        <family val="2"/>
      </rPr>
      <t xml:space="preserve">1. </t>
    </r>
    <r>
      <rPr>
        <sz val="11"/>
        <rFont val="Arial Narrow"/>
        <family val="2"/>
      </rPr>
      <t xml:space="preserve">El material promocional fue revisado y aprobado por el personal competente para este fin: Experto y Gerente de Promoción  (Evidencia: Correos electrónicos de aprobación del material promocional). Ubicación de la evidencia: </t>
    </r>
    <r>
      <rPr>
        <i/>
        <u/>
        <sz val="10"/>
        <rFont val="Arial Narrow"/>
        <family val="2"/>
      </rPr>
      <t>Y:\PROMOCION\2019\Eventos\INVENTARIO PROMOCION\APROBACIONES MATERIAL</t>
    </r>
    <r>
      <rPr>
        <sz val="11"/>
        <rFont val="Arial Narrow"/>
        <family val="2"/>
      </rPr>
      <t xml:space="preserve">
</t>
    </r>
    <r>
      <rPr>
        <b/>
        <sz val="11"/>
        <rFont val="Arial Narrow"/>
        <family val="2"/>
      </rPr>
      <t>2</t>
    </r>
    <r>
      <rPr>
        <sz val="11"/>
        <rFont val="Arial Narrow"/>
        <family val="2"/>
      </rPr>
      <t xml:space="preserve">. La consolidacion de la información técnica del material producido es obtenida de las fuentes directas responsables de la misma, la cual es incluida en el material correspondiente (Pie de pagina). Evidencia: Material promocional producido). Ubicacion de la evidencia: 
</t>
    </r>
    <r>
      <rPr>
        <i/>
        <u/>
        <sz val="10"/>
        <rFont val="Arial Narrow"/>
        <family val="2"/>
      </rPr>
      <t>Y:\PROMOCION\2019\Atención a inversionistas\Cartilla\VERSION FINAL\ABRIL</t>
    </r>
    <r>
      <rPr>
        <sz val="11"/>
        <rFont val="Arial Narrow"/>
        <family val="2"/>
      </rPr>
      <t xml:space="preserve">
</t>
    </r>
    <r>
      <rPr>
        <i/>
        <u/>
        <sz val="10"/>
        <rFont val="Arial Narrow"/>
        <family val="2"/>
      </rPr>
      <t xml:space="preserve">Y:\PROMOCION\2019\Atención a inversionistas\Ficha de Minerales\FICHAS MINERALES CARTILLA\CARPETA MINERALES\FICHAS VERSION FINAL\FICHAS EN ALTA
</t>
    </r>
    <r>
      <rPr>
        <b/>
        <sz val="11"/>
        <rFont val="Arial Narrow"/>
        <family val="2"/>
      </rPr>
      <t xml:space="preserve">3. </t>
    </r>
    <r>
      <rPr>
        <sz val="11"/>
        <rFont val="Arial Narrow"/>
        <family val="2"/>
      </rPr>
      <t xml:space="preserve">No se ha requerido correccion de material promocional una vez impreso o publicado.  </t>
    </r>
  </si>
  <si>
    <t>Durante el primer semestre de 2019 se realizó la producción de la Cartilla Explorando Oportunidades (Versión Febrero y Versión Abril de 2019), la cual incluyó un inserto correspondiente al mapa metalogénico de Colombia (Para publicación en la pagina Web y para impresión física) y el Save the Date para la invitación a los asistentes al evento PDAC al Dia Colombia programado el 4 de marzo y las fichas de minerales. 
El material fue revisado y aprobado por Experto y Gerente de Promoción. (Evidencia: Correos electrónicos de aprobación del material promocional)</t>
  </si>
  <si>
    <r>
      <rPr>
        <b/>
        <sz val="11"/>
        <color theme="1"/>
        <rFont val="Arial Narrow"/>
        <family val="2"/>
      </rPr>
      <t xml:space="preserve">1. </t>
    </r>
    <r>
      <rPr>
        <sz val="11"/>
        <color theme="1"/>
        <rFont val="Arial Narrow"/>
        <family val="2"/>
      </rPr>
      <t xml:space="preserve">El programa Anual de Eventos para la Vigencia 2019, se encuentra consolidado y aprobado (Evidencias: Programa de Eventos, Acta  de Reunión, Listado de asistencia) Ubicacion evidencias: </t>
    </r>
    <r>
      <rPr>
        <i/>
        <u/>
        <sz val="10"/>
        <color theme="1"/>
        <rFont val="Arial Narrow"/>
        <family val="2"/>
      </rPr>
      <t>Y:\PROMOCION\2019\Eventos\PROGRAMA ANUAL DE EVENTOS</t>
    </r>
    <r>
      <rPr>
        <sz val="11"/>
        <color theme="1"/>
        <rFont val="Arial Narrow"/>
        <family val="2"/>
      </rPr>
      <t xml:space="preserve"> 
</t>
    </r>
    <r>
      <rPr>
        <b/>
        <sz val="11"/>
        <color theme="1"/>
        <rFont val="Arial Narrow"/>
        <family val="2"/>
      </rPr>
      <t xml:space="preserve">2. </t>
    </r>
    <r>
      <rPr>
        <sz val="11"/>
        <color theme="1"/>
        <rFont val="Arial Narrow"/>
        <family val="2"/>
      </rPr>
      <t xml:space="preserve">Se llevó a cabo el seguimiento durante la organización / preparación de la logística necesaria para la participación de la ANM en 3 eventos de promoción del sector minero (PDAC en Canadá, LADU en Australia y Congreso Nacional de Mineria organizado por la ACM en Cartgena). (Evidencias: Lista de chequeo por evento, Caracterización de cada evento) Ubicación evidencias: </t>
    </r>
    <r>
      <rPr>
        <i/>
        <u/>
        <sz val="10"/>
        <color theme="1"/>
        <rFont val="Arial Narrow"/>
        <family val="2"/>
      </rPr>
      <t>Y:\PROMOCION\2019\Eventos\INTERNACIONALES\01 PDAC\PROCEDIMIENTO
Y:\PROMOCION\2019\Eventos\INTERNACIONALES\02 LADU\PROCEDIMIENTO
Y:\PROMOCION\2019\Eventos\NACIONALES\1_ACM\PROCEDIMIENTO</t>
    </r>
    <r>
      <rPr>
        <sz val="11"/>
        <color theme="1"/>
        <rFont val="Arial Narrow"/>
        <family val="2"/>
      </rPr>
      <t xml:space="preserve">
</t>
    </r>
    <r>
      <rPr>
        <b/>
        <sz val="11"/>
        <color theme="1"/>
        <rFont val="Arial Narrow"/>
        <family val="2"/>
      </rPr>
      <t/>
    </r>
  </si>
  <si>
    <t xml:space="preserve">Se realizó segumiento detallado a la organización / preparación de la logística necesaria para la partcipación de la ANM en cada uno de los eventos de promoción realizados durante el primer semestre del año asi como de los resultados obtenidos, consolidados en los correspondientes informes. (Evidencia: Informe de cada evento de promoción del sector minero en el que se llevó a cabo la participación por parte de la ANM) </t>
  </si>
  <si>
    <t xml:space="preserve">No se ha realizado delimitación y declaración de AEM, que es el insumo fundamental para la realización de un proceso de selección con fines de adjudicación de AEM; por lo anterior, no se ha requerido avance en cuanto a la estructuración del proceso correspondiente. </t>
  </si>
  <si>
    <t>N/A
No se ha realizado delimitación y declaración de AEM</t>
  </si>
  <si>
    <t xml:space="preserve">Durante la vigencia no se ha recibido información sobre potencial para minerales estrategicos que es el insumo fundamental para la gestión de la ANM en cuanto a reseva de areas y posteriormente para la delimitación y declaración de áreas-  </t>
  </si>
  <si>
    <t>Teniendo en cuenta que esta acción se adelanta con base en la información sobre potencial para minerales estratégicos que provee el SGC (única entidad competente para este fin), en lo corrido del año no se ha requerido gestión para avanzar en cuanto a concertación con autoridades.</t>
  </si>
  <si>
    <t>Teniendo en cuenta que esta acción se adelanta con base en la información sobre potencial para minerales estratégicos que provee el SGC (única entidad competente para este fin), en lo corrido del año no se ha requerido gestión para avanzar en cuanto a inclusión del uso minero en POT/EOT.</t>
  </si>
  <si>
    <t xml:space="preserve">Durante el segundo semestre del año se encuentran programados los eventos de promoción liderados por la ANM en los cuales se tiene prevista la participación activa de autoridades ambientales. </t>
  </si>
  <si>
    <t xml:space="preserve">No se ha generado necesidad de ajustes a las AEM delimitadas </t>
  </si>
  <si>
    <t xml:space="preserve">La Base de Datos de Promoción fue actualizada con los contactos pertenecientes a autoridades ambientales y/o judiciales. </t>
  </si>
  <si>
    <t xml:space="preserve">CUMPLIDA </t>
  </si>
  <si>
    <t>Para iniciar la revisión documental de todas las solicitudes de ARE, siempre es requisito solicitar el reporte gráfico RG y el reporte de superposiciones vigentes en solicitud que se envía por correo en el q se incluyen las coordenadas del polígono solicitado al profesional de enlace de Fomento en Catastro y Registro minero como indica el procedimiento</t>
  </si>
  <si>
    <t xml:space="preserve">En el segundo trimestre de 2019 se elaboraron 147 reportes gráficos y Reportes de superposiciones.
34 Certificados de Area Libre.
 3 Estudios multitemporales
75 Migraciónes de AREs al CMC
En los expedientes reposa copia  de los correos enviados junto con los RG y reporte de supertposiciones.
En la carpeta compartida, hay una carpeta donde se suben todos los RG y reportes de superposiciones; El enlace es:: \\fileserver\VICEPRESIDENCIA DE PROMOCION\FOMENTO\GRUPO SIG\BACK UP JAIRMO\2019
</t>
  </si>
  <si>
    <t>Además del RG; dentro de la preparación previa a las visitas de tradicionalidad se hace una reunión de análisis de las viabilidades jurídica y técnica de las solicitudes con recomendación de visita. Una vez definida cuales realmente cumplen los requisitos, se incluyen en la programación de visitas,con asignación de profesional.  Todo ajustado al procedimiento.</t>
  </si>
  <si>
    <t>Para todas las fases dentro del procedimiento que lleva a la declaración y delimitación de Area de Reserva Especial, se actualiza permanentemente el CAL y RG.</t>
  </si>
  <si>
    <t xml:space="preserve">
En la carpeta compartida y las subcarpetas se encuentran las evidencias de reportes Gráficos, CAL, programación de visitas e informes.
En este link se encuentra la programación de visitas. Z:\SEGUIMIENTO ARES
Para el II Trimestre de 2019 se declararon dos (2) ARES.</t>
  </si>
  <si>
    <t>Para todas las fases dentro del procedimiento que lleva a la declaración y delimitación de Area de Reserva Especial, se actualiza permanentemente el Reporte de superposiciones y RG. El Certificado de Atrea Libre se requiere enxasos especiales y en la elaboración del acto administrativo de declaración y delimitación de ARE</t>
  </si>
  <si>
    <t>Dentro de la reunión de análisis de viabilidades técnicas y jurídicas de las solicitudes con recomendación de visita se hace seguimiento a la programación de visitas y ajuste de las mismas.
Igual sucede con las visitas de seguimiento, que tienen su correspondiente programación</t>
  </si>
  <si>
    <t>Realizadas las visitas por los funcionarios correspondientes y se elaboran los correspondientes informes.</t>
  </si>
  <si>
    <t xml:space="preserve">Como resultado del análisis documental si la solicitud requiere ampliación de información y documentos que permitan el total cumplimiento de requisitos acorde a la resolución 546 de /17, se hace auto de requerimiento, que para este trimestre fueron 94 autos de requerimientos.
Adiconal durante las visitas,se imponen requerimientos de ser necesarios por lo que se elabora y firma un acta por las partes que en ella intervienen.
Es pertinente mencionar,que para garntizar la objetividad del proceso quienes realizan Evaluaciones Documentales y Autos de Requerimiento son difrentes a los profesionales que realizan la visita de campo. Igual sucede con quienes realizan los actos administrativos de rechazo, desistimiento y declaración y delimitación
</t>
  </si>
  <si>
    <t>Los expedientes correspondientes tienen los Autos de requerimiento y las correspondientes Actas
- 94 autos de requerimientos.</t>
  </si>
  <si>
    <t>Con comunidades étnicas, únicamente se manejó en este trimestre el caso de la comunidad Indígena Yaguara de la etnia Pijao, quien se opone al área de reserva especial declarada y delimitada en el municipio de Chaparral –Tolima a través de la Resolución No. 243 de 9 de octubre de 2017.  La visita se realizó en el mes de mayo del corriente.</t>
  </si>
  <si>
    <t>No se presentó en este periodo</t>
  </si>
  <si>
    <t xml:space="preserve">Se utilizan los mismos RG y de superposiciones de la evaluación documental y adicionalmente se realiza una reunión de evaluación de cada uno de los expedientes que se encuentran para visita de tradicionalidad. </t>
  </si>
  <si>
    <t>Los expedientes correspondientes tienen los documentos e informes. Igualmente durante el segundo trimestre se realizaron 26 vistas de verificación de radicionalidad de acuerdo a los programado.
Las evidencias se encuantran en las siguientes carpetas:
 \\fileserver\VAF\RIESGOS_ANM
.Z:\ADMINISTRATIVA\Bases de datos fomento\INFORMES GENERADOS GRUPO DE FOMENTO\Informes 2019</t>
  </si>
  <si>
    <r>
      <t xml:space="preserve">No se ha realizado en lo corrido del año verificación previa de información catastral para fines de reserva o delimitación de AEM, teniendo en cuenta los sigiuentes aspectos:
* La necesidad de establecer, unificar y expedir los lineamientos a nivel sectorial frente al tema de Areas Estratégicas Mineras, a fin de garantizar su adecuado desarrollo y avance. Esta gestión ya se encuentra adelantada y en etapa de revisión (Evidencias: Proyecto de Decreto para la reglamentación de las Areas Estrategicas Mineras, programación de reuniones sectoriales, correos electrónicos)  Ubicacion evidencias: </t>
    </r>
    <r>
      <rPr>
        <i/>
        <u/>
        <sz val="10"/>
        <rFont val="Arial Narrow"/>
        <family val="2"/>
      </rPr>
      <t xml:space="preserve">Y:\PROMOCION\2019\Areas Estrategicas Mineras\Documentos con contenido jurídico\Decreto Reglamentario Áreas Estratégicas Mineras </t>
    </r>
    <r>
      <rPr>
        <sz val="11"/>
        <rFont val="Arial Narrow"/>
        <family val="2"/>
      </rPr>
      <t xml:space="preserve">
*  </t>
    </r>
    <r>
      <rPr>
        <b/>
        <sz val="11"/>
        <rFont val="Arial Narrow"/>
        <family val="2"/>
      </rPr>
      <t>La verificación, análisis, preparación, reserva, liberación y/o delimitación de  areas con potencial para minerales estratégicos por parte de la ANM depende completamente de la información sobre potencial producida y entregada por el SGC. Durante la vigencia no se ha recibido información por parte del SGC</t>
    </r>
  </si>
  <si>
    <r>
      <t xml:space="preserve">No se ha realizado en lo corrido del año, delimitación y declaración de AEM, teniendo en cuenta los sigiuentes aspectos:
* La necesidad de establecer, unificar y expedir los lineamientos a nivel sectorial frente al tema de Areas Estratégicas Mineras, a fin de garantizar su adecuado desarrollo y avance. Esta gestión ya se encuentra adelantada y en etapa de revisión (Evidencias: Proyecto de Decreto para la reglamentación de las Areas Estrategicas Mineras, programación de reuniones sectoriales, correos electrónicos)  Ubicacion evidencias: </t>
    </r>
    <r>
      <rPr>
        <i/>
        <u/>
        <sz val="10"/>
        <rFont val="Arial Narrow"/>
        <family val="2"/>
      </rPr>
      <t xml:space="preserve">Y:\PROMOCION\2019\Areas Estrategicas Mineras\Documentos con contenido jurídico\Decreto Reglamentario Áreas Estratégicas Mineras </t>
    </r>
    <r>
      <rPr>
        <sz val="11"/>
        <rFont val="Arial Narrow"/>
        <family val="2"/>
      </rPr>
      <t xml:space="preserve">
*  </t>
    </r>
    <r>
      <rPr>
        <b/>
        <sz val="11"/>
        <rFont val="Arial Narrow"/>
        <family val="2"/>
      </rPr>
      <t>La verificación, análisis, preparación, reserva, liberación y/o delimitación de  areas con potencial para minerales estratégicos por parte de la ANM depende completamente de la información sobre potencial producida y entregada por el SGC. Durante la vigencia no se ha recibido información por parte del SGC</t>
    </r>
  </si>
  <si>
    <t>Los expedientes correspondientes tienen los informes validados y numerados.
Para el segundo trimestre se reportan:
- Visitas de tradicionalidad:  / Informes presentados: 6 / Informes pendientes: 20
- Viistas de seguimientos a ARES: 12 Informes presentados / Informes pendientes: 6
En la carpeta compartida de la vicepresidencia están los informes de seguimiento, de verificación de tradicionalidad y  programación de visitas.
Estos mismos documentos soporte, están en la carpeta \\fileserver\VAF\RIESGOS_ANM</t>
  </si>
  <si>
    <t>El control consiste en revisar y aprobar la información que se va a divulgar, por parte del área técnica.</t>
  </si>
  <si>
    <t>Las áreas proveen información y/o cifras para realizar comunicados de prensa  y esta es validada y posteriormente se tramita su publicación</t>
  </si>
  <si>
    <t xml:space="preserve">1. Se ha avanzado 20% en la revisión de trámites del Stock &gt;2018.  
2.Se remitieron los informes de las visitas a PARES al Vicepresidente de Contratación y a presidencia. </t>
  </si>
  <si>
    <t>CERRADA</t>
  </si>
  <si>
    <t>Sin reporte final para este periodo</t>
  </si>
  <si>
    <t xml:space="preserve">1. Se contrató a una profesional abogada para que depure el inventario de trámites del GEMTM. Lo anterior permitirá realizar un reparto más efectivo. 
2. Se realizaron comisiones a los 5 pares con mayor cantidad de trámites con el fin de verificar el estado del inventario y ajustar las bases de datos. El muestreo permitirá generar planes de acción para implementar acciones de mejora. 
3. Se realizó la contratación de 5 profesionales para complementar el equipo del GEMTM. </t>
  </si>
  <si>
    <t xml:space="preserve">1. Se efectuó la solicitud del asunto: "Solicitud de Concepto Jurídico respecto a la aplicación de la Ley 1955 de 2019 “POR LA CUAL SE EXPIDE EL PLAN NACIONAL DE DESARROLLO 2018-2022- PACTO POR COLOMBIA, PACTO POR LA EQUIDAD” a trámites del GEMTM"
2. Se proyectó el protocolo de prórrogas de Títulos Mineros. </t>
  </si>
  <si>
    <t xml:space="preserve">1. Se hizo seguimiento a la respuesta de la solicitud de concepto.
2. Se socializó el concepto jurídico con los miembros del GEMTM. 
3. Se remitIó el proyecto de protocolo de prórrogas para revisión del vicepresidente de Contratación. </t>
  </si>
  <si>
    <t>Se estuvo trabajando con la Gerencia de regalías en la reasignación de funciones a los funcionarios de planta para poder llevar el control sobre cada uno de los procesos que se llevan a cabo en el Grupo de Regalías, con el fin de mitigar los riesgos que se presentan tanto en los procesos aprobación de tramites de exportación, como canon superficiario y RUCOM y así cumplir con lo que se establecido en los procedimientos del Grupo regalías y contraprestaciones económicas.</t>
  </si>
  <si>
    <t>Se termino de trabajar en los últimos ajustes a los procedimiento de acuerdo  a lo informado por el Grupo de Planeación para que los mismo cumplieran con los requisitos y ser publicados en Isolución. 
El procedimiento  LIQUIDACIÓN, RECAUDO Y TRANSFERENCIA DE REGALÍAS, se actualizó el 29/05/2019, este si tendría lugar al cierre.</t>
  </si>
  <si>
    <t>Mediante reportes e informes trimestrales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</si>
  <si>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t>Aún no se cumple el cronograma de la acción. Del total PQRS recibidos durante el I Semestre de 2019, se tomará una muestra representativa de las respuestas, con el fin de verificar si estas se están dando de fondo y si se ajustan a la normatividad minera vigente. Igualmente se verificará el estado actual de los casos reportados en el informe de PQRS del II trimestre de 2019.</t>
  </si>
  <si>
    <t>Aún no se cumple el cronograma de la acción. En los reportes e informes se verifica la fecha de radicación de las PQRS y la fecha de respuesta de las mismas, con lo cual se está llevando un control sobre la oportunidad en las respuestas. Por otra parte, se verificará el estado actual de los casos reportados en el informe de PQRS del II trimestre de 2019.</t>
  </si>
  <si>
    <t>Se realizó verificación de productos no conformes de los actos administrativos que resuelven tramites de la VSCSM.</t>
  </si>
  <si>
    <t>Aún no se cumple el cronograma de la acción. Se anexa la evidencia relacionada con la verificación de productos no conformes de las resoluciones. Una vez se cuente con la información relacionada con productos no conformes de informes de visitas, conceptos técnicos y autos, se anexarán las evidencias correspondientes.</t>
  </si>
  <si>
    <t>Aún no se cumple el cronograma de la acción. Con relación a los actos administrativos se realizó verificación de las resoluciones remitidas al lider de filtros, determinando si lo proyectado cumple con diferentes parametros, con los cuales se busca garantizar que se dé cumplimiento con la normatividad minera vigente y los lineamientos de la entidad.</t>
  </si>
  <si>
    <t>Mensualmente se realiza verificación a través de reportes generados de la herramienta del Catastro Minero Colombiando, los cuales también son utilizados para el respectivo seguimiento en la liquidación de los títulos.</t>
  </si>
  <si>
    <t>Aún no se cumple el cronograma de la acción. Se realizó la verificación mensual de los títulos mineros terminados con resolución inscrita en el RMN y en reuniones mensuales para el seguimiento de cifras se hace el seguimiento a la liquidación de los títulos mineros.</t>
  </si>
  <si>
    <t>La vicepresidencia de Contratación y Titulación publicó en Isolucion el pasado mes de julio, el Procedimiento de Gestión Documental que comprende los siguientes 3 documentos:                                               • Procedimiento MIS3-P-007-Gestión Integral De Expedientes Mineros y sus Instructivos 
• Instructivo MIS3-P-007-I-001- Conformación De Los Expedientes Mineros Análogos 
• Instructivo MIS3-P-007-I-002- Conformación De Los Expedientes Mineros Electrónicos.</t>
  </si>
  <si>
    <t>Aún no se cumple el cronograma de la acción. A través del aplicativo ARANDA, se realiza el registro, control y seguimiento de las inconsistencias reportadas por cada una de las diferentes áreas.</t>
  </si>
  <si>
    <t>A través de los comités de verificación y seguimiento a la fiscalización, mensualmente se realiza seguimiento al cumplimiento de la metas de las inspecciones de campo.</t>
  </si>
  <si>
    <t>Aún no se cumple el cronograma de la acción. Mediante el último comité de verificación y seguimiento a la fiscalización se estableció el avance de las metas de inspecciones de campo a 30 de junio de 2019, asi mismo se sugieren medidas o estrategias para buscar un cumplimiento de metas.</t>
  </si>
  <si>
    <t>Para el respectivo control posterior a las inspecciones realizadas, se habilitó en la herramienta de fiscalización la generación de alertas que permiten hacer seguimiento a las No Conformidades o incumplimientos por parte de los titulares. Por otra parte, para los títulos priorizados por alto riesgo de accidentalidad, se hace un seguimiento semestral respecto de los incumplimientos y las actuaciones de los PARES competentes.</t>
  </si>
  <si>
    <t>Aún no se cumple el cronograma de la acción. A partir de marzo de 2019, se habilitó en la herramienta de Fiscalización una opción que permite realizar seguimiento oportuno a las obligaciones pendientes de los titulares, con lo cual cada Coordinador de Grupo puede programar las evaluaciones e inspecciones a fin de verificar los incumplimientos y tomar las medidas que correspondan. Asimismo, para los títulos priorizados por alto riesgo de accidentalidad, se creó una matriz a través de la cual semestralmente se le hace seguimiento respecto al cumplimiento o incumplimiento por parte de los titulares mineros y a las medidas tomadas por la entidad.</t>
  </si>
  <si>
    <t>Se procedió a verficar el instructivo "TRAMITES DE LA VICEPRESIDENCIA DE SEGUIMIENTO, CONTROL Y SEGURIDAD MINERA", CÓDIGO: MIS4-P-001-I-001, publicado en el aplicativo ISOLUCION de la entidad, en el cual se observan 7 Trámites principales en competencia de la VSCSM. Revisado en el SUIT se observa que solo 1 de los 7 trámites se encuentra registrado.</t>
  </si>
  <si>
    <t>Aún no se cumple el cronograma de la acción. Se procederá a realizar la gestión necesaria para la inclusión de los 6 tramites que a la fecha no se encuentran incluidos en el SUIT, asi como los demás que por algún motivo no se encuentren en ISOLUCION.</t>
  </si>
  <si>
    <t>Mensualmente a través de informe o presentación, el lider de la meta reporta el seguimiento, la verificación y el cumplimiento que se lleva respecto de los tramites pendientes como de la oportunidad en la atención de los mismos.</t>
  </si>
  <si>
    <t>Aún no se cumple el cronograma de la acción. Al 30 de junio de 2019, el lider de la meta de tramites reporta el estado actual de los tramites a nivel nacional a cargo de la VSCSM. Por otra parte, para la verificación de la oportunidad, para el año 2019 se comenzó a realizar el seguimiento con base en el indicador POA denominado "Oportunidad en la atención de trámites que no afectan titularidad".</t>
  </si>
  <si>
    <t>Fecha de elaboración: Agosto 09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</si>
</sst>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
      <sz val="11"/>
      <color rgb="FFFF0000"/>
      <name val="Arial Narrow"/>
      <family val="2"/>
    </font>
    <font>
      <i/>
      <sz val="11"/>
      <color theme="1"/>
      <name val="Arial Narrow"/>
      <family val="2"/>
    </font>
    <font>
      <i/>
      <u/>
      <sz val="10"/>
      <color theme="1"/>
      <name val="Arial Narrow"/>
      <family val="2"/>
    </font>
    <font>
      <i/>
      <u/>
      <sz val="10"/>
      <name val="Arial Narrow"/>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s>
  <cellStyleXfs count="1">
    <xf numFmtId="0" fontId="0" fillId="0" borderId="0"/>
  </cellStyleXfs>
  <cellXfs count="261">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26" fillId="0" borderId="0" xfId="0" applyFont="1" applyFill="1" applyBorder="1" applyAlignment="1">
      <alignment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0" fontId="5" fillId="12" borderId="9" xfId="0" applyFont="1" applyFill="1" applyBorder="1" applyAlignment="1">
      <alignment horizontal="left" vertical="center"/>
    </xf>
    <xf numFmtId="0" fontId="5" fillId="11" borderId="9" xfId="0" applyFont="1" applyFill="1" applyBorder="1" applyAlignment="1">
      <alignment horizontal="left" vertical="center"/>
    </xf>
    <xf numFmtId="0" fontId="5" fillId="8" borderId="9" xfId="0" applyFont="1" applyFill="1" applyBorder="1" applyAlignment="1">
      <alignment horizontal="left" vertical="center"/>
    </xf>
    <xf numFmtId="0" fontId="5" fillId="10" borderId="9" xfId="0" applyFont="1" applyFill="1" applyBorder="1" applyAlignment="1">
      <alignment horizontal="left" vertical="center"/>
    </xf>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0" fontId="5" fillId="2" borderId="9" xfId="0" applyFont="1" applyFill="1" applyBorder="1" applyAlignment="1">
      <alignment horizontal="center" vertical="center"/>
    </xf>
    <xf numFmtId="0" fontId="5" fillId="2" borderId="0" xfId="0" applyFont="1" applyFill="1" applyAlignment="1">
      <alignment horizontal="justify" vertical="center"/>
    </xf>
    <xf numFmtId="0" fontId="25" fillId="0" borderId="9" xfId="0" applyFont="1" applyBorder="1" applyAlignment="1">
      <alignment horizontal="justify" vertical="center"/>
    </xf>
    <xf numFmtId="0" fontId="25" fillId="0" borderId="9" xfId="0" applyFont="1" applyFill="1" applyBorder="1" applyAlignment="1">
      <alignment horizontal="justify" vertical="center" wrapText="1"/>
    </xf>
    <xf numFmtId="0" fontId="0" fillId="2" borderId="0" xfId="0" applyFill="1" applyAlignment="1">
      <alignment horizontal="justify" vertical="center"/>
    </xf>
    <xf numFmtId="0" fontId="5" fillId="2" borderId="0" xfId="0" applyFont="1" applyFill="1" applyAlignment="1">
      <alignment horizontal="justify" vertical="center" wrapText="1"/>
    </xf>
    <xf numFmtId="0" fontId="25" fillId="2" borderId="9" xfId="0" applyFont="1" applyFill="1" applyBorder="1" applyAlignment="1">
      <alignment horizontal="justify" vertical="center"/>
    </xf>
    <xf numFmtId="0" fontId="5" fillId="2" borderId="19" xfId="0" applyFont="1" applyFill="1" applyBorder="1" applyAlignment="1">
      <alignment wrapText="1"/>
    </xf>
    <xf numFmtId="0" fontId="5" fillId="2" borderId="19" xfId="0" applyFont="1" applyFill="1" applyBorder="1" applyAlignment="1">
      <alignment horizontal="center" vertical="center"/>
    </xf>
    <xf numFmtId="0" fontId="5" fillId="2" borderId="19" xfId="0" applyFont="1" applyFill="1" applyBorder="1" applyAlignment="1">
      <alignment vertical="center" wrapText="1"/>
    </xf>
    <xf numFmtId="0" fontId="5" fillId="0" borderId="9" xfId="0" applyFont="1" applyBorder="1" applyAlignment="1">
      <alignment vertical="center" wrapText="1"/>
    </xf>
    <xf numFmtId="0" fontId="25" fillId="2" borderId="25" xfId="0" applyFont="1" applyFill="1" applyBorder="1" applyAlignment="1">
      <alignment horizontal="justify" vertical="center"/>
    </xf>
    <xf numFmtId="0" fontId="25" fillId="2" borderId="19" xfId="0" applyFont="1" applyFill="1" applyBorder="1" applyAlignment="1">
      <alignment horizontal="justify" vertical="center" wrapText="1"/>
    </xf>
    <xf numFmtId="0" fontId="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justify"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1" borderId="1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11" borderId="12" xfId="0" applyFont="1" applyFill="1" applyBorder="1" applyAlignment="1">
      <alignment horizontal="left" vertical="center"/>
    </xf>
    <xf numFmtId="0" fontId="5" fillId="11" borderId="11" xfId="0" applyFont="1" applyFill="1" applyBorder="1" applyAlignment="1">
      <alignment horizontal="left"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11" borderId="9" xfId="0" applyFont="1" applyFill="1" applyBorder="1" applyAlignment="1">
      <alignment horizontal="left" vertical="center"/>
    </xf>
    <xf numFmtId="0" fontId="5" fillId="0" borderId="9" xfId="0" applyFont="1" applyBorder="1" applyAlignment="1">
      <alignment horizontal="left" vertical="center" wrapText="1"/>
    </xf>
    <xf numFmtId="0" fontId="25" fillId="2" borderId="12" xfId="0" applyFont="1" applyFill="1" applyBorder="1" applyAlignment="1">
      <alignment horizontal="justify" vertical="center" wrapText="1"/>
    </xf>
    <xf numFmtId="0" fontId="25" fillId="2" borderId="11" xfId="0" applyFont="1" applyFill="1" applyBorder="1" applyAlignment="1">
      <alignment horizontal="justify" vertical="center" wrapText="1"/>
    </xf>
    <xf numFmtId="0" fontId="25" fillId="2" borderId="10" xfId="0" applyFont="1" applyFill="1" applyBorder="1" applyAlignment="1">
      <alignment horizontal="justify" vertical="center" wrapText="1"/>
    </xf>
    <xf numFmtId="0" fontId="5" fillId="8" borderId="11" xfId="0" applyFont="1" applyFill="1" applyBorder="1" applyAlignment="1">
      <alignment horizontal="center" vertical="center"/>
    </xf>
    <xf numFmtId="0" fontId="5" fillId="12"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0" fillId="2" borderId="10" xfId="0" applyFill="1" applyBorder="1" applyAlignment="1">
      <alignment horizontal="justify" vertical="center" wrapText="1"/>
    </xf>
    <xf numFmtId="0" fontId="5" fillId="0" borderId="10" xfId="0" applyFont="1" applyBorder="1" applyAlignment="1">
      <alignment horizontal="center"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5" fillId="0" borderId="9" xfId="0" applyFont="1" applyBorder="1" applyAlignment="1">
      <alignment horizontal="center" vertical="center" wrapText="1"/>
    </xf>
    <xf numFmtId="0" fontId="5" fillId="2" borderId="12" xfId="0" applyFont="1" applyFill="1" applyBorder="1" applyAlignment="1">
      <alignment horizontal="justify" wrapText="1"/>
    </xf>
    <xf numFmtId="0" fontId="5" fillId="2" borderId="10" xfId="0" applyFont="1" applyFill="1" applyBorder="1" applyAlignment="1">
      <alignment horizontal="justify"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0" borderId="9" xfId="0" applyFont="1" applyBorder="1" applyAlignment="1">
      <alignment horizontal="left" vertical="center"/>
    </xf>
    <xf numFmtId="0" fontId="5" fillId="10"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2"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9" xfId="0" applyFont="1" applyBorder="1" applyAlignment="1">
      <alignment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1">
    <cellStyle name="Normal" xfId="0" builtinId="0"/>
  </cellStyles>
  <dxfs count="21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Adquisicion%20Bns%20y%20Servicio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Atencion%20Integral%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Seguimiento%20Consolidado%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Inversion%20Minera%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Delimitacion%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PLANEACI&#211;N%20ESTRATEGICA/Mapa%20de%20Riesgos%20Gestion%20Planeacion%20Estrategic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de%20Gesti&#243;n%20Documental%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Talento%20Humano%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Administracion%20Bienes%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v>
          </cell>
          <cell r="E7" t="str">
            <v>Incumplimiento de los procedimientos contractuales o legalmente previstos para la adquisición de bienes y servicios</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ell>
          <cell r="E9" t="str">
            <v>No publicación en término legal (3 días hábiles) de los documentos contractuales pertinentes en SECOP I</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sheetData sheetId="4"/>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2. Manipulación y custodia indebida del archivo.</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v>
          </cell>
        </row>
      </sheetData>
      <sheetData sheetId="3">
        <row r="14">
          <cell r="E14">
            <v>3</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ell>
          <cell r="E4" t="str">
            <v>Incumplimiento del Plan Estratégico de Talento Humano de la  vigencia</v>
          </cell>
          <cell r="F4" t="str">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Proceso manual de registro de la información en planta de personal, información desactualizada.
2. Manejo de alto volumen de documentación que puede ocasionar fallas en la entrega de la información.
</v>
          </cell>
          <cell r="E5" t="str">
            <v xml:space="preserve">Inconsistencias en la información certificada de la planta de personal a funcionarios y/o terceros.
</v>
          </cell>
          <cell r="F5" t="str">
            <v xml:space="preserve">1. Investigaciones disciplinarias
2. Mala imagen del grupo.
3. Reproceso en la prestación del servicio.
4. Acciones judiciales en contra de la Entidad.
</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 xml:space="preserve">1. Manejo unipersonal del programa de nómina
2. Recursos insuficientes.
3. Errores en reportes de novedades.
4. Fallas técnicas del sistema.
</v>
          </cell>
          <cell r="E6" t="str">
            <v xml:space="preserve">Liquidación inexacta y/o no oportuna de salarios, prestaciones sociales, aportes parafiscales, etc. 
</v>
          </cell>
          <cell r="F6" t="str">
            <v xml:space="preserve">1. Sanciones fiscales por pagos extemporáneos.
2. Detrimento patrimonial.
3. Sanciones disciplinarias
</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ell>
          <cell r="E7" t="str">
            <v>Historias laborales incompletas</v>
          </cell>
          <cell r="F7" t="str">
            <v xml:space="preserve">1. Sanciones disciplinarias al custodio.
2. Hallazgos en auditorías.
3. Alteración en la prestación del servicio por demoras en la búsqueda de los documentos.
4. Reprocesos en el manejo de la información.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Falta de presupuesto para la ejecución de las actividades que se deben llevar a cabo de conformidad con la normatividad.                                                                        2. Personal insuficiente para el cumplimiento de las actividades.                                                                           3. Desconocimiento de la normatividad.</v>
          </cell>
          <cell r="E8" t="str">
            <v>Incumplimiento de las políticas del Sistema de Gestión de Seguridad y Salud en el Trabajo SGSST</v>
          </cell>
          <cell r="F8" t="str">
            <v>1. Sanciones disciplinarias.                                                      2. Sanciones por parte del Ministerio de Trabajo.                     3. Ocurrencia de accidentes laborales.</v>
          </cell>
        </row>
        <row r="9">
          <cell r="B9" t="str">
            <v>GESTIÓN DEL TALENTO HUMANO - CONTROL INTERNO DISCIPLINARIO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Falencias en el seguimiento de los procesos disciplinarios en curso.
2. Información desactualizada en el Sistema de Información Disciplinaria SID.</v>
          </cell>
          <cell r="E9" t="str">
            <v>Dilación de las actuaciones procesales, o acaecimiento de prescripciones o caducidades</v>
          </cell>
          <cell r="F9" t="str">
            <v>1. Investigaciones y sanciones por parte de los órganos de control.      
2. Pérdida de Imagen y credibilidad.          
3. Imposibilidad o retraso en la adopción de decisiones de fondo.</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Falta de conocimiento y de aplicación correcta de la norma que regula una situación especifica dentro del proceso disciplinario.
2. Alta rotación de personal</v>
          </cell>
          <cell r="E10" t="str">
            <v>Toma de decisiones erróneas al momento de adoptar las decisiones correspondientes dentro del trámite de la actuación procesal</v>
          </cell>
          <cell r="F10" t="str">
            <v>Pérdida de Imagen y credibilidad. Revocatorias. Demandas contra la entidad. Investigaciones y sanciones por parte de los órgano de control.</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Falencia en los controles institucionales, para ejercer la vigilancia o custodia de los expedientes.
2. Debilidades en la implementación de digitalización de los documentos que conforman los expedientes.</v>
          </cell>
          <cell r="E11" t="str">
            <v>Sustracción o destrucción de expedientes, pérdida de documentos, y violación de la reserva legal.</v>
          </cell>
          <cell r="F11" t="str">
            <v xml:space="preserve">1. Investigaciones y sanciones por parte de los órganos de control.        
2. Pérdida de Imagen y credibilidad. </v>
          </cell>
        </row>
      </sheetData>
      <sheetData sheetId="3">
        <row r="14">
          <cell r="E14">
            <v>3</v>
          </cell>
        </row>
        <row r="15">
          <cell r="E15">
            <v>3</v>
          </cell>
        </row>
        <row r="16">
          <cell r="E16">
            <v>1</v>
          </cell>
        </row>
        <row r="17">
          <cell r="E17">
            <v>2</v>
          </cell>
        </row>
        <row r="18">
          <cell r="E18">
            <v>1</v>
          </cell>
        </row>
        <row r="19">
          <cell r="E19">
            <v>4</v>
          </cell>
        </row>
        <row r="20">
          <cell r="E20">
            <v>2</v>
          </cell>
        </row>
        <row r="21">
          <cell r="E21">
            <v>2</v>
          </cell>
        </row>
      </sheetData>
      <sheetData sheetId="4">
        <row r="6">
          <cell r="D6">
            <v>4</v>
          </cell>
        </row>
        <row r="7">
          <cell r="D7">
            <v>4</v>
          </cell>
        </row>
        <row r="8">
          <cell r="D8">
            <v>5</v>
          </cell>
        </row>
        <row r="9">
          <cell r="D9">
            <v>4</v>
          </cell>
        </row>
        <row r="10">
          <cell r="D10">
            <v>5</v>
          </cell>
        </row>
        <row r="11">
          <cell r="D11">
            <v>3</v>
          </cell>
        </row>
        <row r="12">
          <cell r="D12">
            <v>3</v>
          </cell>
        </row>
        <row r="13">
          <cell r="D13">
            <v>3</v>
          </cell>
        </row>
      </sheetData>
      <sheetData sheetId="5"/>
      <sheetData sheetId="6"/>
      <sheetData sheetId="7"/>
      <sheetData sheetId="8"/>
      <sheetData sheetId="9"/>
      <sheetData sheetId="10"/>
      <sheetData sheetId="11"/>
      <sheetData sheetId="12"/>
      <sheetData sheetId="13"/>
      <sheetData sheetId="14"/>
      <sheetData sheetId="15">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tabSelected="1" workbookViewId="0">
      <selection activeCell="E20" sqref="E20"/>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42"/>
      <c r="B2" s="143"/>
      <c r="C2" s="143"/>
      <c r="D2" s="143"/>
      <c r="E2" s="143"/>
      <c r="F2" s="143"/>
      <c r="G2" s="143"/>
      <c r="H2" s="143"/>
      <c r="I2" s="143"/>
      <c r="J2" s="143"/>
      <c r="K2" s="143"/>
      <c r="L2" s="144"/>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45" t="s">
        <v>3</v>
      </c>
      <c r="B8" s="146"/>
      <c r="C8" s="146"/>
      <c r="D8" s="146"/>
      <c r="E8" s="146"/>
      <c r="F8" s="146"/>
      <c r="G8" s="146"/>
      <c r="H8" s="146"/>
      <c r="I8" s="146"/>
      <c r="J8" s="146"/>
      <c r="K8" s="146"/>
      <c r="L8" s="147"/>
    </row>
    <row r="9" spans="1:12" x14ac:dyDescent="0.3">
      <c r="A9" s="145" t="s">
        <v>443</v>
      </c>
      <c r="B9" s="146"/>
      <c r="C9" s="146"/>
      <c r="D9" s="146"/>
      <c r="E9" s="146"/>
      <c r="F9" s="146"/>
      <c r="G9" s="146"/>
      <c r="H9" s="146"/>
      <c r="I9" s="146"/>
      <c r="J9" s="146"/>
      <c r="K9" s="146"/>
      <c r="L9" s="147"/>
    </row>
    <row r="10" spans="1:12" x14ac:dyDescent="0.3">
      <c r="A10" s="145" t="s">
        <v>0</v>
      </c>
      <c r="B10" s="146"/>
      <c r="C10" s="146"/>
      <c r="D10" s="146"/>
      <c r="E10" s="146"/>
      <c r="F10" s="146"/>
      <c r="G10" s="146"/>
      <c r="H10" s="146"/>
      <c r="I10" s="146"/>
      <c r="J10" s="146"/>
      <c r="K10" s="146"/>
      <c r="L10" s="147"/>
    </row>
    <row r="11" spans="1:12" ht="39" customHeight="1" x14ac:dyDescent="0.3">
      <c r="A11" s="5"/>
      <c r="B11" s="6"/>
      <c r="C11" s="6"/>
      <c r="D11" s="6"/>
      <c r="E11" s="6"/>
      <c r="F11" s="6"/>
      <c r="G11" s="6"/>
      <c r="H11" s="6"/>
      <c r="I11" s="6"/>
      <c r="J11" s="6"/>
      <c r="K11" s="6"/>
      <c r="L11" s="7"/>
    </row>
    <row r="12" spans="1:12" x14ac:dyDescent="0.3">
      <c r="A12" s="138" t="s">
        <v>1</v>
      </c>
      <c r="B12" s="139"/>
      <c r="C12" s="139"/>
      <c r="D12" s="139"/>
      <c r="E12" s="139"/>
      <c r="F12" s="139" t="s">
        <v>2</v>
      </c>
      <c r="G12" s="139"/>
      <c r="H12" s="139"/>
      <c r="I12" s="139"/>
      <c r="J12" s="139"/>
      <c r="K12" s="139"/>
      <c r="L12" s="148"/>
    </row>
    <row r="13" spans="1:12" x14ac:dyDescent="0.3">
      <c r="A13" s="138" t="s">
        <v>442</v>
      </c>
      <c r="B13" s="139"/>
      <c r="C13" s="139"/>
      <c r="D13" s="139"/>
      <c r="E13" s="139"/>
      <c r="F13" s="139" t="s">
        <v>441</v>
      </c>
      <c r="G13" s="139"/>
      <c r="H13" s="139"/>
      <c r="I13" s="139"/>
      <c r="J13" s="139"/>
      <c r="K13" s="139"/>
      <c r="L13" s="148"/>
    </row>
    <row r="14" spans="1:12" x14ac:dyDescent="0.3">
      <c r="A14" s="138" t="s">
        <v>691</v>
      </c>
      <c r="B14" s="139"/>
      <c r="C14" s="139"/>
      <c r="D14" s="139"/>
      <c r="E14" s="139"/>
      <c r="F14" s="140"/>
      <c r="G14" s="140"/>
      <c r="H14" s="140"/>
      <c r="I14" s="140"/>
      <c r="J14" s="140"/>
      <c r="K14" s="140"/>
      <c r="L14" s="141"/>
    </row>
    <row r="15" spans="1:12" x14ac:dyDescent="0.3">
      <c r="A15" s="5"/>
      <c r="B15" s="6"/>
      <c r="C15" s="6"/>
      <c r="D15" s="6"/>
      <c r="E15" s="6"/>
      <c r="F15" s="6"/>
      <c r="G15" s="6"/>
      <c r="H15" s="6"/>
      <c r="I15" s="6"/>
      <c r="J15" s="6"/>
      <c r="K15" s="6"/>
      <c r="L15" s="7"/>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sheetData>
  <mergeCells count="10">
    <mergeCell ref="A14:E14"/>
    <mergeCell ref="F14:L14"/>
    <mergeCell ref="A2:L2"/>
    <mergeCell ref="A8:L8"/>
    <mergeCell ref="A10:L10"/>
    <mergeCell ref="A12:E12"/>
    <mergeCell ref="F12:L12"/>
    <mergeCell ref="A13:E13"/>
    <mergeCell ref="F13:L13"/>
    <mergeCell ref="A9:L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77" zoomScaleNormal="77" workbookViewId="0">
      <selection sqref="A1:AA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58" style="14" customWidth="1"/>
    <col min="23" max="23" width="57.140625" style="14" customWidth="1"/>
    <col min="24" max="27" width="11.42578125" style="14"/>
    <col min="28" max="35" width="0" style="14" hidden="1" customWidth="1"/>
    <col min="36" max="16384" width="11.42578125" style="14"/>
  </cols>
  <sheetData>
    <row r="1" spans="1:35" ht="16.5" customHeight="1" x14ac:dyDescent="0.3">
      <c r="A1" s="177" t="s">
        <v>273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165" x14ac:dyDescent="0.25">
      <c r="A9" s="23">
        <v>1</v>
      </c>
      <c r="B9" s="22" t="str">
        <f>+[10]Identificacion!B4</f>
        <v xml:space="preserve">ADQUISICIÓN DE BIENES Y SERVICIOS </v>
      </c>
      <c r="C9" s="22" t="str">
        <f>+[10]Identificacion!C4</f>
        <v>Gestionar las acciones requeridas para llevar a cabo la adquisición de bienes y servicios necesarios para la operación de los procesos de la Agencia Nacional de Minería, a través del cumplimiento del marco normativo vigente.</v>
      </c>
      <c r="D9" s="22" t="str">
        <f>+[10]Identificacion!D4</f>
        <v xml:space="preserve">Desconocimiento de la normatividad aplicada                       
Afán en la contratación por improvisación y descoordinación en la estructuración del proceso 
Proceso manual que puede generar registros erróneos. </v>
      </c>
      <c r="E9" s="22" t="str">
        <f>+[10]Identificacion!E4</f>
        <v xml:space="preserve">Trámite y suscripción de contratos no contemplados en el Plan Anual de Adquisiciones </v>
      </c>
      <c r="F9" s="22" t="str">
        <f>+[10]Identificacion!F4</f>
        <v xml:space="preserve">Sanciones Disciplinarias </v>
      </c>
      <c r="G9" s="23">
        <f>+[10]Probabilidad!E14</f>
        <v>3</v>
      </c>
      <c r="H9" s="23">
        <f>+'[10]Impacto '!D6</f>
        <v>3</v>
      </c>
      <c r="I9" s="23">
        <f t="shared" ref="I9:I14" si="0">+G9*H9</f>
        <v>9</v>
      </c>
      <c r="J9" s="65" t="str">
        <f>IF(AND(I9&gt;=0,I9&lt;=4),'[10]Calificación de Riesgos'!$H$10,IF(I9&lt;7,'[10]Calificación de Riesgos'!$H$9,IF(I9&lt;13,'[10]Calificación de Riesgos'!$H$8,IF(I9&lt;=25,'[10]Calificación de Riesgos'!$H$7))))</f>
        <v>ALTA</v>
      </c>
      <c r="K9" s="94" t="s">
        <v>255</v>
      </c>
      <c r="L9" s="23">
        <v>1</v>
      </c>
      <c r="M9" s="23">
        <v>3</v>
      </c>
      <c r="N9" s="23">
        <f>+L9*M9</f>
        <v>3</v>
      </c>
      <c r="O9" s="71" t="str">
        <f>+'[10]Calificación de Riesgos'!H9</f>
        <v>MODERADA</v>
      </c>
      <c r="P9" s="18" t="s">
        <v>7</v>
      </c>
      <c r="Q9" s="93" t="s">
        <v>256</v>
      </c>
      <c r="R9" s="21" t="s">
        <v>257</v>
      </c>
      <c r="S9" s="20">
        <v>43496</v>
      </c>
      <c r="T9" s="20">
        <v>43814</v>
      </c>
      <c r="U9" s="19" t="s">
        <v>258</v>
      </c>
      <c r="V9" s="113" t="s">
        <v>573</v>
      </c>
      <c r="W9" s="113" t="s">
        <v>574</v>
      </c>
      <c r="X9" s="18" t="s">
        <v>467</v>
      </c>
      <c r="Y9" s="18" t="s">
        <v>468</v>
      </c>
      <c r="Z9" s="18" t="s">
        <v>473</v>
      </c>
      <c r="AA9" s="18" t="s">
        <v>473</v>
      </c>
      <c r="AB9" s="18"/>
      <c r="AC9" s="18"/>
      <c r="AD9" s="18"/>
      <c r="AE9" s="18"/>
      <c r="AF9" s="18"/>
      <c r="AG9" s="18"/>
      <c r="AH9" s="18"/>
      <c r="AI9" s="18"/>
    </row>
    <row r="10" spans="1:35" s="17" customFormat="1" ht="99" x14ac:dyDescent="0.25">
      <c r="A10" s="23">
        <v>2</v>
      </c>
      <c r="B10" s="22" t="str">
        <f>+[10]Identificacion!B5</f>
        <v xml:space="preserve">ADQUISICIÓN DE BIENES Y SERVICIOS </v>
      </c>
      <c r="C10" s="22" t="str">
        <f>+[10]Identificacion!C5</f>
        <v>Gestionar las acciones requeridas para llevar a cabo la adquisición de bienes y servicios necesarios para la operación de los procesos de la Agencia Nacional de Minería, a través del cumplimiento del marco normativo vigente.</v>
      </c>
      <c r="D10" s="22" t="str">
        <f>+[10]Identificacion!D5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22" t="str">
        <f>+[10]Identificacion!E5</f>
        <v>Vencimiento de los plazos de liquidación de contratos que deben contar con esta actividad.</v>
      </c>
      <c r="F10" s="22" t="str">
        <f>+[10]Identificacion!F5</f>
        <v>Sanciones Disciplinarias y fiscales. Daño antijurídico por eventuales reclamaciones en sede judicial.</v>
      </c>
      <c r="G10" s="23">
        <f>+[10]Probabilidad!E15</f>
        <v>4</v>
      </c>
      <c r="H10" s="23">
        <f>+'[10]Impacto '!D7</f>
        <v>4</v>
      </c>
      <c r="I10" s="23">
        <f t="shared" si="0"/>
        <v>16</v>
      </c>
      <c r="J10" s="64" t="str">
        <f>IF(AND(I10&gt;=0,I10&lt;=4),'[10]Calificación de Riesgos'!$H$10,IF(I10&lt;7,'[10]Calificación de Riesgos'!$H$9,IF(I10&lt;13,'[10]Calificación de Riesgos'!$H$8,IF(I10&lt;=25,'[10]Calificación de Riesgos'!$H$7))))</f>
        <v>EXTREMA</v>
      </c>
      <c r="K10" s="18" t="s">
        <v>259</v>
      </c>
      <c r="L10" s="23">
        <v>2</v>
      </c>
      <c r="M10" s="23">
        <v>4</v>
      </c>
      <c r="N10" s="23">
        <f t="shared" ref="N10:N14" si="1">+L10*M10</f>
        <v>8</v>
      </c>
      <c r="O10" s="65" t="str">
        <f>IF(AND(N10&gt;=0,N10&lt;=4),'[10]Calificación de Riesgos'!$H$10,IF(N10&lt;7,'[10]Calificación de Riesgos'!$H$9,IF(N10&lt;13,'[10]Calificación de Riesgos'!$H$8,IF(N10&lt;=25,'[10]Calificación de Riesgos'!$H$7))))</f>
        <v>ALTA</v>
      </c>
      <c r="P10" s="18" t="s">
        <v>7</v>
      </c>
      <c r="Q10" s="93" t="s">
        <v>260</v>
      </c>
      <c r="R10" s="21" t="s">
        <v>261</v>
      </c>
      <c r="S10" s="20">
        <v>43496</v>
      </c>
      <c r="T10" s="20">
        <v>43814</v>
      </c>
      <c r="U10" s="19" t="s">
        <v>258</v>
      </c>
      <c r="V10" s="18" t="s">
        <v>575</v>
      </c>
      <c r="W10" s="113" t="s">
        <v>576</v>
      </c>
      <c r="X10" s="18" t="s">
        <v>467</v>
      </c>
      <c r="Y10" s="18" t="s">
        <v>468</v>
      </c>
      <c r="Z10" s="18" t="s">
        <v>473</v>
      </c>
      <c r="AA10" s="18" t="s">
        <v>473</v>
      </c>
      <c r="AB10" s="18"/>
      <c r="AC10" s="18"/>
      <c r="AD10" s="18"/>
      <c r="AE10" s="18"/>
      <c r="AF10" s="18"/>
      <c r="AG10" s="18"/>
      <c r="AH10" s="18"/>
      <c r="AI10" s="18"/>
    </row>
    <row r="11" spans="1:35" s="17" customFormat="1" ht="198" x14ac:dyDescent="0.25">
      <c r="A11" s="23">
        <v>3</v>
      </c>
      <c r="B11" s="22" t="str">
        <f>+[10]Identificacion!B6</f>
        <v xml:space="preserve">ADQUISICIÓN DE BIENES Y SERVICIOS </v>
      </c>
      <c r="C11" s="22" t="str">
        <f>+[10]Identificacion!C6</f>
        <v>Gestionar las acciones requeridas para llevar a cabo la adquisición de bienes y servicios necesarios para la operación de los procesos de la Agencia Nacional de Minería, a través del cumplimiento del marco normativo vigente.</v>
      </c>
      <c r="D11" s="22" t="str">
        <f>+[10]Identificacion!D6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22" t="str">
        <f>+[10]Identificacion!E6</f>
        <v>Pérdida de documentos contenidos en los expedientes contractuales.</v>
      </c>
      <c r="F11" s="22" t="str">
        <f>+[10]Identificacion!F6</f>
        <v>Sanciones Disciplinarias. Pérdida de memoria institucional representada en los documentos contractuales. Imposibilidad de gestionar adecuadamente los contratos suscritos por la Entidad.</v>
      </c>
      <c r="G11" s="23">
        <f>+[10]Probabilidad!E16</f>
        <v>3</v>
      </c>
      <c r="H11" s="23">
        <f>+'[10]Impacto '!D8</f>
        <v>4</v>
      </c>
      <c r="I11" s="23">
        <f t="shared" si="0"/>
        <v>12</v>
      </c>
      <c r="J11" s="64" t="str">
        <f>IF(AND(I11&gt;=0,I11&lt;=4),'[10]Calificación de Riesgos'!$H$10,IF(I11&lt;7,'[10]Calificación de Riesgos'!$H$9,IF(I11&lt;12,'[10]Calificación de Riesgos'!$H$8,IF(I11&lt;=25,'[10]Calificación de Riesgos'!$H$7))))</f>
        <v>EXTREMA</v>
      </c>
      <c r="K11" s="22" t="s">
        <v>262</v>
      </c>
      <c r="L11" s="23">
        <v>1</v>
      </c>
      <c r="M11" s="23">
        <v>4</v>
      </c>
      <c r="N11" s="23">
        <f t="shared" si="1"/>
        <v>4</v>
      </c>
      <c r="O11" s="65" t="str">
        <f>+'[10]Calificación de Riesgos'!H8</f>
        <v>ALTA</v>
      </c>
      <c r="P11" s="18" t="s">
        <v>7</v>
      </c>
      <c r="Q11" s="93" t="s">
        <v>263</v>
      </c>
      <c r="R11" s="21" t="s">
        <v>264</v>
      </c>
      <c r="S11" s="20">
        <v>43496</v>
      </c>
      <c r="T11" s="20">
        <v>43814</v>
      </c>
      <c r="U11" s="19" t="s">
        <v>258</v>
      </c>
      <c r="V11" s="113" t="s">
        <v>577</v>
      </c>
      <c r="W11" s="113" t="s">
        <v>578</v>
      </c>
      <c r="X11" s="18" t="s">
        <v>467</v>
      </c>
      <c r="Y11" s="18" t="s">
        <v>468</v>
      </c>
      <c r="Z11" s="18" t="s">
        <v>473</v>
      </c>
      <c r="AA11" s="18" t="s">
        <v>473</v>
      </c>
      <c r="AB11" s="18"/>
      <c r="AC11" s="18"/>
      <c r="AD11" s="18"/>
      <c r="AE11" s="18"/>
      <c r="AF11" s="18"/>
      <c r="AG11" s="18"/>
      <c r="AH11" s="18"/>
      <c r="AI11" s="18"/>
    </row>
    <row r="12" spans="1:35" s="17" customFormat="1" ht="148.5" x14ac:dyDescent="0.25">
      <c r="A12" s="23">
        <v>4</v>
      </c>
      <c r="B12" s="22" t="str">
        <f>+[10]Identificacion!B7</f>
        <v xml:space="preserve">ADQUISICIÓN DE BIENES Y SERVICIOS </v>
      </c>
      <c r="C12" s="22" t="str">
        <f>+[10]Identificacion!C7</f>
        <v>Gestionar las acciones requeridas para llevar a cabo la adquisición de bienes y servicios necesarios para la operación de los procesos de la Agencia Nacional de Minería, a través del cumplimiento del marco normativo vigente.</v>
      </c>
      <c r="D12" s="22" t="str">
        <f>+[10]Identificacion!D7</f>
        <v>Inadecuada estructuración de los procesos contractuales  
Escogencia equivocada del proceso de selección respectivo.</v>
      </c>
      <c r="E12" s="22" t="str">
        <f>+[10]Identificacion!E7</f>
        <v>Incumplimiento de los procedimientos contractuales o legalmente previstos para la adquisición de bienes y servicios</v>
      </c>
      <c r="F12" s="22" t="str">
        <f>+[10]Identificacion!F7</f>
        <v>Sanciones Disciplinarias, penales, fiscales y de responsabilidad civil. Reprocesos con los consecuentes retrasos en la consecución de los bienes y servicios requeridos.</v>
      </c>
      <c r="G12" s="23">
        <f>+[10]Probabilidad!E17</f>
        <v>3</v>
      </c>
      <c r="H12" s="23">
        <f>+'[10]Impacto '!D9</f>
        <v>5</v>
      </c>
      <c r="I12" s="23">
        <f t="shared" si="0"/>
        <v>15</v>
      </c>
      <c r="J12" s="64" t="str">
        <f>IF(AND(I12&gt;=0,I12&lt;=4),'[10]Calificación de Riesgos'!$H$10,IF(I12&lt;7,'[10]Calificación de Riesgos'!$H$9,IF(I12&lt;13,'[10]Calificación de Riesgos'!$H$8,IF(I12&lt;=25,'[10]Calificación de Riesgos'!$H$7))))</f>
        <v>EXTREMA</v>
      </c>
      <c r="K12" s="18" t="s">
        <v>265</v>
      </c>
      <c r="L12" s="23">
        <v>3</v>
      </c>
      <c r="M12" s="23">
        <v>3</v>
      </c>
      <c r="N12" s="23">
        <f t="shared" si="1"/>
        <v>9</v>
      </c>
      <c r="O12" s="65" t="str">
        <f>IF(AND(N12&gt;=0,N12&lt;=4),'[10]Calificación de Riesgos'!$H$10,IF(N12&lt;7,'[10]Calificación de Riesgos'!$H$9,IF(N12&lt;13,'[10]Calificación de Riesgos'!$H$8,IF(N12&lt;=25,'[10]Calificación de Riesgos'!$H$7))))</f>
        <v>ALTA</v>
      </c>
      <c r="P12" s="18" t="s">
        <v>7</v>
      </c>
      <c r="Q12" s="85" t="s">
        <v>266</v>
      </c>
      <c r="R12" s="21" t="s">
        <v>267</v>
      </c>
      <c r="S12" s="20">
        <v>43496</v>
      </c>
      <c r="T12" s="20">
        <v>43814</v>
      </c>
      <c r="U12" s="19" t="s">
        <v>258</v>
      </c>
      <c r="V12" s="18" t="s">
        <v>579</v>
      </c>
      <c r="W12" s="113" t="s">
        <v>580</v>
      </c>
      <c r="X12" s="18" t="s">
        <v>467</v>
      </c>
      <c r="Y12" s="18" t="s">
        <v>468</v>
      </c>
      <c r="Z12" s="18" t="s">
        <v>473</v>
      </c>
      <c r="AA12" s="18" t="s">
        <v>473</v>
      </c>
      <c r="AB12" s="18"/>
      <c r="AC12" s="18"/>
      <c r="AD12" s="18"/>
      <c r="AE12" s="18"/>
      <c r="AF12" s="18"/>
      <c r="AG12" s="18"/>
      <c r="AH12" s="18"/>
      <c r="AI12" s="18"/>
    </row>
    <row r="13" spans="1:35" ht="132" x14ac:dyDescent="0.3">
      <c r="A13" s="23">
        <v>5</v>
      </c>
      <c r="B13" s="22" t="str">
        <f>+[10]Identificacion!B8</f>
        <v xml:space="preserve">ADQUISICIÓN DE BIENES Y SERVICIOS </v>
      </c>
      <c r="C13" s="22" t="str">
        <f>+[10]Identificacion!C8</f>
        <v>Gestionar las acciones requeridas para llevar a cabo la adquisición de bienes y servicios necesarios para la operación de los procesos de la Agencia Nacional de Minería, a través del cumplimiento del marco normativo vigente.</v>
      </c>
      <c r="D13" s="22" t="str">
        <f>+[10]Identificacion!D8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3" s="22" t="str">
        <f>+[10]Identificacion!E8</f>
        <v>Inadecuada ejecución contractual</v>
      </c>
      <c r="F13" s="22" t="str">
        <f>+[10]Identificacion!F8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3" s="23">
        <f>+[10]Probabilidad!E18</f>
        <v>3</v>
      </c>
      <c r="H13" s="23">
        <f>+'[10]Impacto '!D10</f>
        <v>4</v>
      </c>
      <c r="I13" s="23">
        <f t="shared" si="0"/>
        <v>12</v>
      </c>
      <c r="J13" s="64" t="str">
        <f>IF(AND(I13&gt;=0,I13&lt;=4),'[10]Calificación de Riesgos'!$H$10,IF(I13&lt;7,'[10]Calificación de Riesgos'!$H$9,IF(I13&lt;12,'[10]Calificación de Riesgos'!$H$8,IF(I13&lt;=25,'[10]Calificación de Riesgos'!$H$7))))</f>
        <v>EXTREMA</v>
      </c>
      <c r="K13" s="18" t="s">
        <v>268</v>
      </c>
      <c r="L13" s="23">
        <v>1</v>
      </c>
      <c r="M13" s="23">
        <v>4</v>
      </c>
      <c r="N13" s="23">
        <f t="shared" si="1"/>
        <v>4</v>
      </c>
      <c r="O13" s="65" t="str">
        <f>+'[10]Calificación de Riesgos'!H8</f>
        <v>ALTA</v>
      </c>
      <c r="P13" s="18" t="s">
        <v>7</v>
      </c>
      <c r="Q13" s="85" t="s">
        <v>269</v>
      </c>
      <c r="R13" s="21" t="s">
        <v>161</v>
      </c>
      <c r="S13" s="20">
        <v>43496</v>
      </c>
      <c r="T13" s="20">
        <v>43814</v>
      </c>
      <c r="U13" s="19" t="s">
        <v>258</v>
      </c>
      <c r="V13" s="18" t="s">
        <v>581</v>
      </c>
      <c r="W13" s="113" t="s">
        <v>582</v>
      </c>
      <c r="X13" s="18" t="s">
        <v>467</v>
      </c>
      <c r="Y13" s="18" t="s">
        <v>468</v>
      </c>
      <c r="Z13" s="18" t="s">
        <v>473</v>
      </c>
      <c r="AA13" s="18" t="s">
        <v>473</v>
      </c>
      <c r="AB13" s="18"/>
      <c r="AC13" s="18"/>
      <c r="AD13" s="18"/>
      <c r="AE13" s="18"/>
      <c r="AF13" s="18"/>
      <c r="AG13" s="18"/>
      <c r="AH13" s="18"/>
      <c r="AI13" s="18"/>
    </row>
    <row r="14" spans="1:35" ht="264" x14ac:dyDescent="0.3">
      <c r="A14" s="23">
        <v>6</v>
      </c>
      <c r="B14" s="22" t="str">
        <f>+[10]Identificacion!B9</f>
        <v xml:space="preserve">ADQUISICIÓN DE BIENES Y SERVICIOS </v>
      </c>
      <c r="C14" s="22" t="str">
        <f>+[10]Identificacion!C9</f>
        <v>Gestionar las acciones requeridas para llevar a cabo la adquisición de bienes y servicios necesarios para la operación de los procesos de la Agencia Nacional de Minería, a través del cumplimiento del marco normativo vigente.</v>
      </c>
      <c r="D14" s="22" t="str">
        <f>+[10]Identificacion!D9</f>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
      <c r="E14" s="22" t="str">
        <f>+[10]Identificacion!E9</f>
        <v>No publicación en término legal (3 días hábiles) de los documentos contractuales pertinentes en SECOP I</v>
      </c>
      <c r="F14" s="22" t="str">
        <f>+[10]Identificacion!F9</f>
        <v>Posible comisión de falta disciplinaria y consecuencias en la medición de transparencia de la Entidad por inadecuada publicación de los documentos.</v>
      </c>
      <c r="G14" s="23">
        <f>+[10]Probabilidad!E19</f>
        <v>3</v>
      </c>
      <c r="H14" s="23">
        <f>+'[10]Impacto '!D11</f>
        <v>3</v>
      </c>
      <c r="I14" s="23">
        <f t="shared" si="0"/>
        <v>9</v>
      </c>
      <c r="J14" s="65" t="str">
        <f>IF(AND(I14&gt;=0,I14&lt;=4),'[10]Calificación de Riesgos'!$H$10,IF(I14&lt;7,'[10]Calificación de Riesgos'!$H$9,IF(I14&lt;13,'[10]Calificación de Riesgos'!$H$8,IF(I14&lt;=25,'[10]Calificación de Riesgos'!$H$7))))</f>
        <v>ALTA</v>
      </c>
      <c r="K14" s="18" t="s">
        <v>270</v>
      </c>
      <c r="L14" s="23">
        <v>1</v>
      </c>
      <c r="M14" s="23">
        <v>3</v>
      </c>
      <c r="N14" s="23">
        <f t="shared" si="1"/>
        <v>3</v>
      </c>
      <c r="O14" s="71" t="str">
        <f>+'[10]Calificación de Riesgos'!H9</f>
        <v>MODERADA</v>
      </c>
      <c r="P14" s="18" t="s">
        <v>7</v>
      </c>
      <c r="Q14" s="85" t="s">
        <v>271</v>
      </c>
      <c r="R14" s="21" t="s">
        <v>272</v>
      </c>
      <c r="S14" s="20">
        <v>43496</v>
      </c>
      <c r="T14" s="20">
        <v>43814</v>
      </c>
      <c r="U14" s="19" t="s">
        <v>258</v>
      </c>
      <c r="V14" s="18" t="s">
        <v>583</v>
      </c>
      <c r="W14" s="113" t="s">
        <v>584</v>
      </c>
      <c r="X14" s="18" t="s">
        <v>467</v>
      </c>
      <c r="Y14" s="18" t="s">
        <v>468</v>
      </c>
      <c r="Z14" s="18" t="s">
        <v>473</v>
      </c>
      <c r="AA14" s="18" t="s">
        <v>473</v>
      </c>
      <c r="AB14" s="18"/>
      <c r="AC14" s="18"/>
      <c r="AD14" s="18"/>
      <c r="AE14" s="18"/>
      <c r="AF14" s="18"/>
      <c r="AG14" s="18"/>
      <c r="AH14" s="18"/>
      <c r="AI14"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3A74C6-B6BB-4EE3-B44C-090D20F24620}">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7" operator="containsText" id="{4F843953-217E-4332-9DB0-A7F33EE7171B}">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8" operator="containsText" id="{B219EC7B-7BFC-4F2E-B42C-544B2F7E18D4}">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x14:cfRule>
          <x14:cfRule type="containsText" priority="19" operator="containsText" id="{2D2A2C1B-888A-4059-AC27-84CFBEAF587C}">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20" operator="containsText" id="{A3D96804-87DC-4B94-BB8B-4C5B0DEFB7FF}">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1" operator="containsText" id="{61FCB4B0-E2A1-4BB4-AC5A-E6F76D447C33}">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2" operator="containsText" id="{7B02073A-A172-4160-B36B-9E0BA7B9294A}">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3" operator="containsText" id="{02666D5A-8E87-427F-BE8C-1034E819FCB7}">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x14:cfRule>
          <x14:cfRule type="containsText" priority="14" operator="containsText" id="{999207F6-84F5-444C-AA73-679C9C99BC69}">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5" operator="containsText" id="{AF0EFFF4-3BC0-419A-8800-1241AB6A4B25}">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4DD56E4D-4F18-4F33-ADCB-1286FE92740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7" operator="containsText" id="{4690781B-FFAA-4915-AD2A-D18536FAE6E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8" operator="containsText" id="{88589789-29D1-429C-8F69-4E650340D4F8}">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x14:cfRule>
          <x14:cfRule type="containsText" priority="9" operator="containsText" id="{E7F7D3A3-1D24-494D-A36D-384BDA94F3E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0" operator="containsText" id="{5ACFAA7A-03C6-475F-9826-37625B9F534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00B050"/>
                </patternFill>
              </fill>
            </x14:dxf>
          </x14:cfRule>
          <xm:sqref>J13:J14</xm:sqref>
        </x14:conditionalFormatting>
        <x14:conditionalFormatting xmlns:xm="http://schemas.microsoft.com/office/excel/2006/main">
          <x14:cfRule type="containsText" priority="1" operator="containsText" id="{FA4D9766-BFD1-441B-BBD8-0F60732E027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2" operator="containsText" id="{1B388972-3B32-485B-9270-72F72D3B1118}">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3" operator="containsText" id="{17C8A821-34F1-4779-83BF-4B5CA6178D8B}">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x14:cfRule>
          <x14:cfRule type="containsText" priority="4" operator="containsText" id="{4C640946-4224-4406-A208-91BB6C3452B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5" operator="containsText" id="{68025BB0-972E-422A-A83D-5F7A1051FA32}">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00B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P9:P14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5"/>
  <sheetViews>
    <sheetView zoomScale="87" zoomScaleNormal="87" workbookViewId="0">
      <selection sqref="A1:AA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3" width="36" style="14" customWidth="1"/>
    <col min="24" max="24" width="31.85546875" style="14" customWidth="1"/>
    <col min="25" max="27" width="11.42578125" style="14"/>
    <col min="28" max="35" width="0" style="14" hidden="1" customWidth="1"/>
    <col min="36" max="16384" width="11.42578125" style="14"/>
  </cols>
  <sheetData>
    <row r="1" spans="1:35" ht="16.5" customHeight="1" x14ac:dyDescent="0.3">
      <c r="A1" s="177" t="s">
        <v>319</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49" t="s">
        <v>54</v>
      </c>
      <c r="W6" s="150"/>
      <c r="X6" s="150"/>
      <c r="Y6" s="150"/>
      <c r="Z6" s="150"/>
      <c r="AA6" s="151"/>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82.5" x14ac:dyDescent="0.25">
      <c r="A9" s="186">
        <v>1</v>
      </c>
      <c r="B9" s="169" t="str">
        <f>+[11]Identificacion!B4</f>
        <v>ATENCIÓN INTEGRAL Y SERVICIOS A GRUPOS DE INTERÉS</v>
      </c>
      <c r="C9" s="169" t="str">
        <f>+[11]Identificacion!C4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69" t="str">
        <f>+[11]Identificacion!D4</f>
        <v xml:space="preserve">1. Falta de concientización a la hora de  custodia en los sistemas de información. 
2. Desactualización de la información publicada por parte de las fuentes de información.
3. Error humano en el manejo de la información
</v>
      </c>
      <c r="E9" s="169" t="str">
        <f>+[11]Identificacion!E4</f>
        <v xml:space="preserve">Suministro de información errónea y/o desactualizada a los usuarios externos. </v>
      </c>
      <c r="F9" s="169" t="str">
        <f>+[11]Identificacion!F4</f>
        <v xml:space="preserve">1. Inconformidad por parte del usuario externo.
2. Desmejoramiento de la imagen institucional
3. Pérdida de credibilidad de la ANM
4. Incumplimiento de los requerimientos exigidos a los usuarios.
</v>
      </c>
      <c r="G9" s="157">
        <f>+[11]Probabilidad!E14</f>
        <v>3</v>
      </c>
      <c r="H9" s="157">
        <f>+'[11]Impacto '!D6</f>
        <v>3</v>
      </c>
      <c r="I9" s="18">
        <f t="shared" ref="I9:I19" si="0">+G9*H9</f>
        <v>9</v>
      </c>
      <c r="J9" s="175" t="str">
        <f>IF(AND(I9&gt;=0,I9&lt;=4),'[11]Calificación de Riesgos'!$H$10,IF(I9&lt;7,'[11]Calificación de Riesgos'!$H$9,IF(I9&lt;13,'[11]Calificación de Riesgos'!$H$8,IF(I9&lt;=25,'[11]Calificación de Riesgos'!$H$7))))</f>
        <v>ALTA</v>
      </c>
      <c r="K9" s="169" t="s">
        <v>274</v>
      </c>
      <c r="L9" s="157">
        <v>1</v>
      </c>
      <c r="M9" s="157">
        <v>3</v>
      </c>
      <c r="N9" s="23">
        <f>+L9*M9</f>
        <v>3</v>
      </c>
      <c r="O9" s="181" t="str">
        <f>+'[11]Calificación de Riesgos'!H9</f>
        <v>MODERADA</v>
      </c>
      <c r="P9" s="157" t="s">
        <v>7</v>
      </c>
      <c r="Q9" s="22" t="s">
        <v>275</v>
      </c>
      <c r="R9" s="22" t="s">
        <v>276</v>
      </c>
      <c r="S9" s="20">
        <v>43493</v>
      </c>
      <c r="T9" s="20">
        <v>43830</v>
      </c>
      <c r="U9" s="19" t="s">
        <v>277</v>
      </c>
      <c r="V9" s="24" t="s">
        <v>585</v>
      </c>
      <c r="W9" s="24" t="s">
        <v>586</v>
      </c>
      <c r="X9" s="24" t="s">
        <v>587</v>
      </c>
      <c r="Y9" s="24" t="s">
        <v>447</v>
      </c>
      <c r="Z9" s="24" t="s">
        <v>476</v>
      </c>
      <c r="AA9" s="24" t="s">
        <v>476</v>
      </c>
      <c r="AB9" s="18"/>
      <c r="AC9" s="18"/>
      <c r="AD9" s="18"/>
      <c r="AE9" s="18"/>
      <c r="AF9" s="18"/>
      <c r="AG9" s="18"/>
      <c r="AH9" s="18"/>
      <c r="AI9" s="18"/>
    </row>
    <row r="10" spans="1:35" s="17" customFormat="1" ht="66" x14ac:dyDescent="0.25">
      <c r="A10" s="187"/>
      <c r="B10" s="170"/>
      <c r="C10" s="170"/>
      <c r="D10" s="170"/>
      <c r="E10" s="170"/>
      <c r="F10" s="170"/>
      <c r="G10" s="158"/>
      <c r="H10" s="158"/>
      <c r="I10" s="18"/>
      <c r="J10" s="198"/>
      <c r="K10" s="170"/>
      <c r="L10" s="158"/>
      <c r="M10" s="158"/>
      <c r="N10" s="23"/>
      <c r="O10" s="185"/>
      <c r="P10" s="158"/>
      <c r="Q10" s="22" t="s">
        <v>278</v>
      </c>
      <c r="R10" s="22" t="s">
        <v>279</v>
      </c>
      <c r="S10" s="20">
        <v>43493</v>
      </c>
      <c r="T10" s="20">
        <v>43830</v>
      </c>
      <c r="U10" s="19" t="s">
        <v>277</v>
      </c>
      <c r="V10" s="24" t="s">
        <v>588</v>
      </c>
      <c r="W10" s="24" t="s">
        <v>589</v>
      </c>
      <c r="X10" s="24" t="s">
        <v>587</v>
      </c>
      <c r="Y10" s="24" t="s">
        <v>447</v>
      </c>
      <c r="Z10" s="24" t="s">
        <v>476</v>
      </c>
      <c r="AA10" s="24" t="s">
        <v>476</v>
      </c>
      <c r="AB10" s="18"/>
      <c r="AC10" s="18"/>
      <c r="AD10" s="18"/>
      <c r="AE10" s="18"/>
      <c r="AF10" s="18"/>
      <c r="AG10" s="18"/>
      <c r="AH10" s="18"/>
      <c r="AI10" s="18"/>
    </row>
    <row r="11" spans="1:35" s="17" customFormat="1" ht="66" x14ac:dyDescent="0.25">
      <c r="A11" s="187"/>
      <c r="B11" s="170"/>
      <c r="C11" s="170"/>
      <c r="D11" s="170"/>
      <c r="E11" s="170"/>
      <c r="F11" s="170"/>
      <c r="G11" s="158"/>
      <c r="H11" s="158"/>
      <c r="I11" s="18"/>
      <c r="J11" s="198"/>
      <c r="K11" s="170"/>
      <c r="L11" s="158"/>
      <c r="M11" s="158"/>
      <c r="N11" s="23"/>
      <c r="O11" s="185"/>
      <c r="P11" s="158"/>
      <c r="Q11" s="22" t="s">
        <v>280</v>
      </c>
      <c r="R11" s="22" t="s">
        <v>281</v>
      </c>
      <c r="S11" s="20">
        <v>43493</v>
      </c>
      <c r="T11" s="20">
        <v>43830</v>
      </c>
      <c r="U11" s="19" t="s">
        <v>277</v>
      </c>
      <c r="V11" s="24" t="s">
        <v>590</v>
      </c>
      <c r="W11" s="24" t="s">
        <v>591</v>
      </c>
      <c r="X11" s="24" t="s">
        <v>446</v>
      </c>
      <c r="Y11" s="24" t="s">
        <v>447</v>
      </c>
      <c r="Z11" s="24" t="s">
        <v>448</v>
      </c>
      <c r="AA11" s="24" t="s">
        <v>448</v>
      </c>
      <c r="AB11" s="18"/>
      <c r="AC11" s="18"/>
      <c r="AD11" s="18"/>
      <c r="AE11" s="18"/>
      <c r="AF11" s="18"/>
      <c r="AG11" s="18"/>
      <c r="AH11" s="18"/>
      <c r="AI11" s="18"/>
    </row>
    <row r="12" spans="1:35" s="17" customFormat="1" ht="82.5" x14ac:dyDescent="0.25">
      <c r="A12" s="203"/>
      <c r="B12" s="171"/>
      <c r="C12" s="171"/>
      <c r="D12" s="171"/>
      <c r="E12" s="171"/>
      <c r="F12" s="171"/>
      <c r="G12" s="159"/>
      <c r="H12" s="159"/>
      <c r="I12" s="18"/>
      <c r="J12" s="176"/>
      <c r="K12" s="171"/>
      <c r="L12" s="159"/>
      <c r="M12" s="159"/>
      <c r="N12" s="23"/>
      <c r="O12" s="182"/>
      <c r="P12" s="159"/>
      <c r="Q12" s="22" t="s">
        <v>282</v>
      </c>
      <c r="R12" s="22" t="s">
        <v>283</v>
      </c>
      <c r="S12" s="20">
        <v>43493</v>
      </c>
      <c r="T12" s="20">
        <v>43830</v>
      </c>
      <c r="U12" s="19" t="s">
        <v>277</v>
      </c>
      <c r="V12" s="24" t="s">
        <v>592</v>
      </c>
      <c r="W12" s="24" t="s">
        <v>593</v>
      </c>
      <c r="X12" s="24" t="s">
        <v>446</v>
      </c>
      <c r="Y12" s="24" t="s">
        <v>447</v>
      </c>
      <c r="Z12" s="24" t="s">
        <v>448</v>
      </c>
      <c r="AA12" s="24" t="s">
        <v>448</v>
      </c>
      <c r="AB12" s="18"/>
      <c r="AC12" s="18"/>
      <c r="AD12" s="18"/>
      <c r="AE12" s="18"/>
      <c r="AF12" s="18"/>
      <c r="AG12" s="18"/>
      <c r="AH12" s="18"/>
      <c r="AI12" s="18"/>
    </row>
    <row r="13" spans="1:35" s="17" customFormat="1" ht="99" x14ac:dyDescent="0.25">
      <c r="A13" s="186">
        <v>2</v>
      </c>
      <c r="B13" s="169" t="str">
        <f>+[11]Identificacion!B5</f>
        <v>ATENCIÓN INTEGRAL Y SERVICIOS A GRUPOS DE INTERÉS</v>
      </c>
      <c r="C13" s="169" t="str">
        <f>+[11]Identificacion!C5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69" t="str">
        <f>+[11]Identificacion!D5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69" t="str">
        <f>+[11]Identificacion!E5</f>
        <v xml:space="preserve">Inicio de la notificación de Actos Administrativos por fuera de los cinco (5) días al recibo del acto administrativo. </v>
      </c>
      <c r="F13" s="169" t="str">
        <f>+[11]Identificacion!F5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57">
        <f>+[11]Probabilidad!E15</f>
        <v>4</v>
      </c>
      <c r="H13" s="157">
        <f>+'[11]Impacto '!D7</f>
        <v>4</v>
      </c>
      <c r="I13" s="18">
        <f t="shared" si="0"/>
        <v>16</v>
      </c>
      <c r="J13" s="166" t="str">
        <f>IF(AND(I13&gt;=0,I13&lt;=4),'[11]Calificación de Riesgos'!$H$10,IF(I13&lt;7,'[11]Calificación de Riesgos'!$H$9,IF(I13&lt;13,'[11]Calificación de Riesgos'!$H$8,IF(I13&lt;=25,'[11]Calificación de Riesgos'!$H$7))))</f>
        <v>EXTREMA</v>
      </c>
      <c r="K13" s="169" t="s">
        <v>284</v>
      </c>
      <c r="L13" s="172">
        <v>2</v>
      </c>
      <c r="M13" s="172">
        <v>4</v>
      </c>
      <c r="N13" s="18">
        <f t="shared" ref="N13:N19" si="1">+L13*M13</f>
        <v>8</v>
      </c>
      <c r="O13" s="175" t="str">
        <f>IF(AND(N13&gt;=0,N13&lt;=4),'[11]Calificación de Riesgos'!$H$10,IF(N13&lt;7,'[11]Calificación de Riesgos'!$H$9,IF(N13&lt;13,'[11]Calificación de Riesgos'!$H$8,IF(N13&lt;=25,'[11]Calificación de Riesgos'!$H$7))))</f>
        <v>ALTA</v>
      </c>
      <c r="P13" s="172" t="s">
        <v>7</v>
      </c>
      <c r="Q13" s="22" t="s">
        <v>285</v>
      </c>
      <c r="R13" s="22" t="s">
        <v>286</v>
      </c>
      <c r="S13" s="20">
        <v>43493</v>
      </c>
      <c r="T13" s="20">
        <v>43830</v>
      </c>
      <c r="U13" s="19" t="s">
        <v>277</v>
      </c>
      <c r="V13" s="24" t="s">
        <v>594</v>
      </c>
      <c r="W13" s="24" t="s">
        <v>595</v>
      </c>
      <c r="X13" s="24" t="s">
        <v>587</v>
      </c>
      <c r="Y13" s="24" t="s">
        <v>447</v>
      </c>
      <c r="Z13" s="24" t="s">
        <v>476</v>
      </c>
      <c r="AA13" s="24" t="s">
        <v>476</v>
      </c>
      <c r="AB13" s="18"/>
      <c r="AC13" s="18"/>
      <c r="AD13" s="18"/>
      <c r="AE13" s="18"/>
      <c r="AF13" s="18"/>
      <c r="AG13" s="18"/>
      <c r="AH13" s="18"/>
      <c r="AI13" s="18"/>
    </row>
    <row r="14" spans="1:35" s="17" customFormat="1" ht="82.5" x14ac:dyDescent="0.25">
      <c r="A14" s="187"/>
      <c r="B14" s="170"/>
      <c r="C14" s="170"/>
      <c r="D14" s="170"/>
      <c r="E14" s="170"/>
      <c r="F14" s="170"/>
      <c r="G14" s="158"/>
      <c r="H14" s="158"/>
      <c r="I14" s="18"/>
      <c r="J14" s="167"/>
      <c r="K14" s="170"/>
      <c r="L14" s="173"/>
      <c r="M14" s="173"/>
      <c r="N14" s="18"/>
      <c r="O14" s="198"/>
      <c r="P14" s="173"/>
      <c r="Q14" s="22" t="s">
        <v>287</v>
      </c>
      <c r="R14" s="22" t="s">
        <v>288</v>
      </c>
      <c r="S14" s="20">
        <v>43493</v>
      </c>
      <c r="T14" s="20">
        <v>43830</v>
      </c>
      <c r="U14" s="19" t="s">
        <v>277</v>
      </c>
      <c r="V14" s="24" t="s">
        <v>596</v>
      </c>
      <c r="W14" s="24" t="s">
        <v>597</v>
      </c>
      <c r="X14" s="24" t="s">
        <v>598</v>
      </c>
      <c r="Y14" s="24" t="s">
        <v>447</v>
      </c>
      <c r="Z14" s="24" t="s">
        <v>448</v>
      </c>
      <c r="AA14" s="24" t="s">
        <v>448</v>
      </c>
      <c r="AB14" s="18"/>
      <c r="AC14" s="18"/>
      <c r="AD14" s="18"/>
      <c r="AE14" s="18"/>
      <c r="AF14" s="18"/>
      <c r="AG14" s="18"/>
      <c r="AH14" s="18"/>
      <c r="AI14" s="18"/>
    </row>
    <row r="15" spans="1:35" s="17" customFormat="1" ht="99" x14ac:dyDescent="0.25">
      <c r="A15" s="203"/>
      <c r="B15" s="171"/>
      <c r="C15" s="171"/>
      <c r="D15" s="171"/>
      <c r="E15" s="171"/>
      <c r="F15" s="171"/>
      <c r="G15" s="159"/>
      <c r="H15" s="159"/>
      <c r="I15" s="18"/>
      <c r="J15" s="168"/>
      <c r="K15" s="171"/>
      <c r="L15" s="174"/>
      <c r="M15" s="174"/>
      <c r="N15" s="18"/>
      <c r="O15" s="176"/>
      <c r="P15" s="174"/>
      <c r="Q15" s="22" t="s">
        <v>289</v>
      </c>
      <c r="R15" s="22" t="s">
        <v>290</v>
      </c>
      <c r="S15" s="20">
        <v>43493</v>
      </c>
      <c r="T15" s="20">
        <v>43830</v>
      </c>
      <c r="U15" s="19" t="s">
        <v>277</v>
      </c>
      <c r="V15" s="24" t="s">
        <v>599</v>
      </c>
      <c r="W15" s="24" t="s">
        <v>600</v>
      </c>
      <c r="X15" s="24" t="s">
        <v>587</v>
      </c>
      <c r="Y15" s="24" t="s">
        <v>447</v>
      </c>
      <c r="Z15" s="24" t="s">
        <v>476</v>
      </c>
      <c r="AA15" s="24" t="s">
        <v>476</v>
      </c>
      <c r="AB15" s="18"/>
      <c r="AC15" s="18"/>
      <c r="AD15" s="18"/>
      <c r="AE15" s="18"/>
      <c r="AF15" s="18"/>
      <c r="AG15" s="18"/>
      <c r="AH15" s="18"/>
      <c r="AI15" s="18"/>
    </row>
    <row r="16" spans="1:35" s="17" customFormat="1" ht="99" x14ac:dyDescent="0.25">
      <c r="A16" s="186">
        <v>3</v>
      </c>
      <c r="B16" s="169" t="str">
        <f>+[11]Identificacion!B6</f>
        <v>ATENCIÓN INTEGRAL Y SERVICIOS A GRUPOS DE INTERÉS</v>
      </c>
      <c r="C16" s="169" t="str">
        <f>+[11]Identificacion!C6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69" t="str">
        <f>+[11]Identificacion!D6</f>
        <v xml:space="preserve">1. Incorrecta foliación del expediente minero. 
2. Desconocer las normas de Gestion documental y archivo de folios dentro de un expediente.
3. Error humano en la manipulación de los expedientes mineros.
</v>
      </c>
      <c r="E16" s="169" t="str">
        <f>+[11]Identificacion!E6</f>
        <v>Perdida de documentos que reposen dentro de los expedientes mineros.</v>
      </c>
      <c r="F16" s="169" t="str">
        <f>+[11]Identificacion!F6</f>
        <v>1. Indebida notificación de los Actos Administrativos.
2. Desgaste administrativo y operativo.
3. Pérdida de credibilidad de la ANM
4. Toma de medidas incorrectas en las evaluaciones técnicas o jurídicas que lleven a un rechazo de las solicitudes.</v>
      </c>
      <c r="G16" s="157">
        <f>+[11]Probabilidad!E16</f>
        <v>2</v>
      </c>
      <c r="H16" s="157">
        <f>+'[11]Impacto '!D8</f>
        <v>4</v>
      </c>
      <c r="I16" s="18">
        <f t="shared" si="0"/>
        <v>8</v>
      </c>
      <c r="J16" s="175" t="str">
        <f>IF(AND(I16&gt;=0,I16&lt;=4),'[11]Calificación de Riesgos'!$H$10,IF(I16&lt;7,'[11]Calificación de Riesgos'!$H$9,IF(I16&lt;13,'[11]Calificación de Riesgos'!$H$8,IF(I16&lt;=25,'[11]Calificación de Riesgos'!$H$7))))</f>
        <v>ALTA</v>
      </c>
      <c r="K16" s="169" t="s">
        <v>291</v>
      </c>
      <c r="L16" s="157">
        <v>1</v>
      </c>
      <c r="M16" s="157">
        <v>4</v>
      </c>
      <c r="N16" s="18">
        <f t="shared" si="1"/>
        <v>4</v>
      </c>
      <c r="O16" s="175" t="str">
        <f>+'[11]Calificación de Riesgos'!H8</f>
        <v>ALTA</v>
      </c>
      <c r="P16" s="172" t="s">
        <v>7</v>
      </c>
      <c r="Q16" s="22" t="s">
        <v>292</v>
      </c>
      <c r="R16" s="22" t="s">
        <v>293</v>
      </c>
      <c r="S16" s="20">
        <v>43493</v>
      </c>
      <c r="T16" s="20">
        <v>43830</v>
      </c>
      <c r="U16" s="19" t="s">
        <v>277</v>
      </c>
      <c r="V16" s="24" t="s">
        <v>601</v>
      </c>
      <c r="W16" s="24" t="s">
        <v>602</v>
      </c>
      <c r="X16" s="24" t="s">
        <v>446</v>
      </c>
      <c r="Y16" s="24" t="s">
        <v>447</v>
      </c>
      <c r="Z16" s="24" t="s">
        <v>448</v>
      </c>
      <c r="AA16" s="24" t="s">
        <v>448</v>
      </c>
      <c r="AB16" s="18"/>
      <c r="AC16" s="18"/>
      <c r="AD16" s="18"/>
      <c r="AE16" s="18"/>
      <c r="AF16" s="18"/>
      <c r="AG16" s="18"/>
      <c r="AH16" s="18"/>
      <c r="AI16" s="18"/>
    </row>
    <row r="17" spans="1:35" s="17" customFormat="1" ht="66" x14ac:dyDescent="0.25">
      <c r="A17" s="187"/>
      <c r="B17" s="170"/>
      <c r="C17" s="170"/>
      <c r="D17" s="170"/>
      <c r="E17" s="170"/>
      <c r="F17" s="170"/>
      <c r="G17" s="158"/>
      <c r="H17" s="158"/>
      <c r="I17" s="18"/>
      <c r="J17" s="198"/>
      <c r="K17" s="170"/>
      <c r="L17" s="158"/>
      <c r="M17" s="158"/>
      <c r="N17" s="18"/>
      <c r="O17" s="198"/>
      <c r="P17" s="173"/>
      <c r="Q17" s="22" t="s">
        <v>294</v>
      </c>
      <c r="R17" s="22" t="s">
        <v>295</v>
      </c>
      <c r="S17" s="20">
        <v>43493</v>
      </c>
      <c r="T17" s="20">
        <v>43830</v>
      </c>
      <c r="U17" s="19" t="s">
        <v>277</v>
      </c>
      <c r="V17" s="24" t="s">
        <v>603</v>
      </c>
      <c r="W17" s="24" t="s">
        <v>604</v>
      </c>
      <c r="X17" s="24" t="s">
        <v>587</v>
      </c>
      <c r="Y17" s="24" t="s">
        <v>447</v>
      </c>
      <c r="Z17" s="24" t="s">
        <v>476</v>
      </c>
      <c r="AA17" s="24" t="s">
        <v>476</v>
      </c>
      <c r="AB17" s="18"/>
      <c r="AC17" s="18"/>
      <c r="AD17" s="18"/>
      <c r="AE17" s="18"/>
      <c r="AF17" s="18"/>
      <c r="AG17" s="18"/>
      <c r="AH17" s="18"/>
      <c r="AI17" s="18"/>
    </row>
    <row r="18" spans="1:35" s="17" customFormat="1" ht="99" x14ac:dyDescent="0.25">
      <c r="A18" s="203"/>
      <c r="B18" s="171"/>
      <c r="C18" s="171"/>
      <c r="D18" s="171"/>
      <c r="E18" s="171"/>
      <c r="F18" s="171"/>
      <c r="G18" s="159"/>
      <c r="H18" s="159"/>
      <c r="I18" s="18"/>
      <c r="J18" s="176"/>
      <c r="K18" s="171"/>
      <c r="L18" s="159"/>
      <c r="M18" s="159"/>
      <c r="N18" s="18"/>
      <c r="O18" s="176"/>
      <c r="P18" s="174"/>
      <c r="Q18" s="22" t="s">
        <v>296</v>
      </c>
      <c r="R18" s="22" t="s">
        <v>297</v>
      </c>
      <c r="S18" s="20">
        <v>43493</v>
      </c>
      <c r="T18" s="20">
        <v>43830</v>
      </c>
      <c r="U18" s="19" t="s">
        <v>277</v>
      </c>
      <c r="V18" s="24" t="s">
        <v>605</v>
      </c>
      <c r="W18" s="24" t="s">
        <v>606</v>
      </c>
      <c r="X18" s="24" t="s">
        <v>598</v>
      </c>
      <c r="Y18" s="24" t="s">
        <v>447</v>
      </c>
      <c r="Z18" s="24" t="s">
        <v>448</v>
      </c>
      <c r="AA18" s="24" t="s">
        <v>448</v>
      </c>
      <c r="AB18" s="18"/>
      <c r="AC18" s="18"/>
      <c r="AD18" s="18"/>
      <c r="AE18" s="18"/>
      <c r="AF18" s="18"/>
      <c r="AG18" s="18"/>
      <c r="AH18" s="18"/>
      <c r="AI18" s="18"/>
    </row>
    <row r="19" spans="1:35" s="17" customFormat="1" ht="99" x14ac:dyDescent="0.25">
      <c r="A19" s="216">
        <v>4</v>
      </c>
      <c r="B19" s="190" t="str">
        <f>+[11]Identificacion!B7</f>
        <v>ATENCIÓN INTEGRAL Y SERVICIOS A GRUPOS DE INTERÉS</v>
      </c>
      <c r="C19" s="190" t="str">
        <f>+[11]Identificacion!C7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90" t="str">
        <f>+[11]Identificacion!D7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90" t="str">
        <f>+[11]Identificacion!E7</f>
        <v>Perdida de los expedientes mineros.</v>
      </c>
      <c r="F19" s="190" t="str">
        <f>+[11]Identificacion!F7</f>
        <v xml:space="preserve">1. Investigaciones dentro de la Entidad por la pérdida del expediente minero.
2. Desgaste administrativo y operativo.
3. Pérdida de credibilidad de la ANM
4. Reprocesos en todo ámbito dentro de la ANM.
</v>
      </c>
      <c r="G19" s="191">
        <f>+[11]Probabilidad!E17</f>
        <v>2</v>
      </c>
      <c r="H19" s="191">
        <f>+'[11]Impacto '!D9</f>
        <v>4</v>
      </c>
      <c r="I19" s="157">
        <f t="shared" si="0"/>
        <v>8</v>
      </c>
      <c r="J19" s="175" t="str">
        <f>IF(AND(I19&gt;=0,I19&lt;=4),'[11]Calificación de Riesgos'!$H$10,IF(I19&lt;7,'[11]Calificación de Riesgos'!$H$9,IF(I19&lt;13,'[11]Calificación de Riesgos'!$H$8,IF(I19&lt;=25,'[11]Calificación de Riesgos'!$H$7))))</f>
        <v>ALTA</v>
      </c>
      <c r="K19" s="190" t="s">
        <v>298</v>
      </c>
      <c r="L19" s="191">
        <v>1</v>
      </c>
      <c r="M19" s="191">
        <v>4</v>
      </c>
      <c r="N19" s="157">
        <f t="shared" si="1"/>
        <v>4</v>
      </c>
      <c r="O19" s="175" t="str">
        <f>+'[11]Calificación de Riesgos'!H8</f>
        <v>ALTA</v>
      </c>
      <c r="P19" s="191" t="s">
        <v>7</v>
      </c>
      <c r="Q19" s="22" t="s">
        <v>299</v>
      </c>
      <c r="R19" s="22" t="s">
        <v>300</v>
      </c>
      <c r="S19" s="20">
        <v>43493</v>
      </c>
      <c r="T19" s="20">
        <v>43830</v>
      </c>
      <c r="U19" s="19" t="s">
        <v>277</v>
      </c>
      <c r="V19" s="24" t="s">
        <v>601</v>
      </c>
      <c r="W19" s="24" t="s">
        <v>602</v>
      </c>
      <c r="X19" s="24" t="s">
        <v>446</v>
      </c>
      <c r="Y19" s="24" t="s">
        <v>447</v>
      </c>
      <c r="Z19" s="24" t="s">
        <v>448</v>
      </c>
      <c r="AA19" s="24" t="s">
        <v>448</v>
      </c>
      <c r="AB19" s="18"/>
      <c r="AC19" s="18"/>
      <c r="AD19" s="18"/>
      <c r="AE19" s="18"/>
      <c r="AF19" s="18"/>
      <c r="AG19" s="18"/>
      <c r="AH19" s="18"/>
      <c r="AI19" s="18"/>
    </row>
    <row r="20" spans="1:35" ht="82.5" x14ac:dyDescent="0.3">
      <c r="A20" s="216"/>
      <c r="B20" s="190"/>
      <c r="C20" s="190"/>
      <c r="D20" s="190"/>
      <c r="E20" s="190"/>
      <c r="F20" s="190"/>
      <c r="G20" s="191"/>
      <c r="H20" s="191"/>
      <c r="I20" s="158"/>
      <c r="J20" s="198"/>
      <c r="K20" s="190"/>
      <c r="L20" s="191"/>
      <c r="M20" s="191"/>
      <c r="N20" s="158"/>
      <c r="O20" s="198"/>
      <c r="P20" s="191"/>
      <c r="Q20" s="22" t="s">
        <v>301</v>
      </c>
      <c r="R20" s="22" t="s">
        <v>302</v>
      </c>
      <c r="S20" s="20">
        <v>43493</v>
      </c>
      <c r="T20" s="20">
        <v>43830</v>
      </c>
      <c r="U20" s="19" t="s">
        <v>277</v>
      </c>
      <c r="V20" s="24" t="s">
        <v>603</v>
      </c>
      <c r="W20" s="24" t="s">
        <v>604</v>
      </c>
      <c r="X20" s="24" t="s">
        <v>446</v>
      </c>
      <c r="Y20" s="24" t="s">
        <v>447</v>
      </c>
      <c r="Z20" s="24" t="s">
        <v>448</v>
      </c>
      <c r="AA20" s="24" t="s">
        <v>448</v>
      </c>
      <c r="AB20" s="77"/>
      <c r="AC20" s="77"/>
      <c r="AD20" s="77"/>
      <c r="AE20" s="77"/>
      <c r="AF20" s="77"/>
      <c r="AG20" s="77"/>
      <c r="AH20" s="77"/>
      <c r="AI20" s="77"/>
    </row>
    <row r="21" spans="1:35" ht="99" x14ac:dyDescent="0.3">
      <c r="A21" s="216"/>
      <c r="B21" s="190"/>
      <c r="C21" s="190"/>
      <c r="D21" s="190"/>
      <c r="E21" s="190"/>
      <c r="F21" s="190"/>
      <c r="G21" s="191"/>
      <c r="H21" s="191"/>
      <c r="I21" s="158"/>
      <c r="J21" s="198"/>
      <c r="K21" s="190"/>
      <c r="L21" s="191"/>
      <c r="M21" s="191"/>
      <c r="N21" s="158"/>
      <c r="O21" s="198"/>
      <c r="P21" s="191"/>
      <c r="Q21" s="22" t="s">
        <v>296</v>
      </c>
      <c r="R21" s="22" t="s">
        <v>303</v>
      </c>
      <c r="S21" s="20">
        <v>43493</v>
      </c>
      <c r="T21" s="20">
        <v>43830</v>
      </c>
      <c r="U21" s="19" t="s">
        <v>277</v>
      </c>
      <c r="V21" s="24" t="s">
        <v>605</v>
      </c>
      <c r="W21" s="24" t="s">
        <v>606</v>
      </c>
      <c r="X21" s="24" t="s">
        <v>598</v>
      </c>
      <c r="Y21" s="24" t="s">
        <v>447</v>
      </c>
      <c r="Z21" s="24" t="s">
        <v>448</v>
      </c>
      <c r="AA21" s="24" t="s">
        <v>448</v>
      </c>
      <c r="AB21" s="77"/>
      <c r="AC21" s="77"/>
      <c r="AD21" s="77"/>
      <c r="AE21" s="77"/>
      <c r="AF21" s="77"/>
      <c r="AG21" s="77"/>
      <c r="AH21" s="77"/>
      <c r="AI21" s="77"/>
    </row>
    <row r="22" spans="1:35" ht="99" x14ac:dyDescent="0.3">
      <c r="A22" s="216"/>
      <c r="B22" s="190"/>
      <c r="C22" s="190"/>
      <c r="D22" s="190"/>
      <c r="E22" s="190"/>
      <c r="F22" s="190"/>
      <c r="G22" s="191"/>
      <c r="H22" s="191"/>
      <c r="I22" s="158"/>
      <c r="J22" s="198"/>
      <c r="K22" s="190"/>
      <c r="L22" s="191"/>
      <c r="M22" s="191"/>
      <c r="N22" s="158"/>
      <c r="O22" s="198"/>
      <c r="P22" s="191"/>
      <c r="Q22" s="22" t="s">
        <v>304</v>
      </c>
      <c r="R22" s="22" t="s">
        <v>305</v>
      </c>
      <c r="S22" s="20">
        <v>43493</v>
      </c>
      <c r="T22" s="20">
        <v>43830</v>
      </c>
      <c r="U22" s="19" t="s">
        <v>277</v>
      </c>
      <c r="V22" s="24" t="s">
        <v>607</v>
      </c>
      <c r="W22" s="24" t="s">
        <v>608</v>
      </c>
      <c r="X22" s="24" t="s">
        <v>598</v>
      </c>
      <c r="Y22" s="24" t="s">
        <v>447</v>
      </c>
      <c r="Z22" s="24" t="s">
        <v>448</v>
      </c>
      <c r="AA22" s="24" t="s">
        <v>448</v>
      </c>
      <c r="AB22" s="77"/>
      <c r="AC22" s="77"/>
      <c r="AD22" s="77"/>
      <c r="AE22" s="77"/>
      <c r="AF22" s="77"/>
      <c r="AG22" s="77"/>
      <c r="AH22" s="77"/>
      <c r="AI22" s="77"/>
    </row>
    <row r="23" spans="1:35" ht="115.5" x14ac:dyDescent="0.3">
      <c r="A23" s="216"/>
      <c r="B23" s="190"/>
      <c r="C23" s="190"/>
      <c r="D23" s="190"/>
      <c r="E23" s="190"/>
      <c r="F23" s="190"/>
      <c r="G23" s="191"/>
      <c r="H23" s="191"/>
      <c r="I23" s="159"/>
      <c r="J23" s="176"/>
      <c r="K23" s="190"/>
      <c r="L23" s="191"/>
      <c r="M23" s="191"/>
      <c r="N23" s="159"/>
      <c r="O23" s="176"/>
      <c r="P23" s="191"/>
      <c r="Q23" s="22" t="s">
        <v>306</v>
      </c>
      <c r="R23" s="22" t="s">
        <v>307</v>
      </c>
      <c r="S23" s="20">
        <v>43493</v>
      </c>
      <c r="T23" s="20">
        <v>43830</v>
      </c>
      <c r="U23" s="19" t="s">
        <v>277</v>
      </c>
      <c r="V23" s="24" t="s">
        <v>609</v>
      </c>
      <c r="W23" s="24" t="s">
        <v>610</v>
      </c>
      <c r="X23" s="24" t="s">
        <v>598</v>
      </c>
      <c r="Y23" s="24" t="s">
        <v>447</v>
      </c>
      <c r="Z23" s="24" t="s">
        <v>448</v>
      </c>
      <c r="AA23" s="24" t="s">
        <v>448</v>
      </c>
      <c r="AB23" s="77"/>
      <c r="AC23" s="77"/>
      <c r="AD23" s="77"/>
      <c r="AE23" s="77"/>
      <c r="AF23" s="77"/>
      <c r="AG23" s="77"/>
      <c r="AH23" s="77"/>
      <c r="AI23" s="77"/>
    </row>
    <row r="24" spans="1:35" ht="132" x14ac:dyDescent="0.3">
      <c r="A24" s="23">
        <v>5</v>
      </c>
      <c r="B24" s="22" t="str">
        <f>+[11]Identificacion!B8</f>
        <v>ATENCIÓN INTEGRAL Y SERVICIOS A GRUPOS DE INTERÉS</v>
      </c>
      <c r="C24" s="22" t="str">
        <f>+[11]Identificacion!C8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2" t="str">
        <f>+[11]Identificacion!D8</f>
        <v>1. Error humano al no vincular de manera correcta las respuestas en el SGD
2. No generar a tiempo las alertas tempranas sobre el estado de la PQRS
3. No contar con toda la información requerida debido a las fallas de la aplicación</v>
      </c>
      <c r="E24" s="22" t="str">
        <f>+[11]Identificacion!E8</f>
        <v>No generar las alertas sobre la gestión de las PQRS, a tiempo.</v>
      </c>
      <c r="F24" s="22" t="str">
        <f>+[11]Identificacion!F8</f>
        <v>1. Sanciones disciplinarias a funcionarios y a la Entidad.
2. Desmejoramiento de la imagen institucional
3. Pérdida de credibilidad de la ANM</v>
      </c>
      <c r="G24" s="23">
        <f>+[11]Probabilidad!E18</f>
        <v>3</v>
      </c>
      <c r="H24" s="23">
        <f>+'[11]Impacto '!D10</f>
        <v>3</v>
      </c>
      <c r="I24" s="23">
        <f>+G24*H24</f>
        <v>9</v>
      </c>
      <c r="J24" s="78" t="str">
        <f>IF(AND(I24&gt;=0,I24&lt;=4),'[11]Calificación de Riesgos'!$H$10,IF(I24&lt;7,'[11]Calificación de Riesgos'!$H$9,IF(I24&lt;13,'[11]Calificación de Riesgos'!$H$8,IF(I24&lt;=25,'[11]Calificación de Riesgos'!$H$7))))</f>
        <v>ALTA</v>
      </c>
      <c r="K24" s="22" t="s">
        <v>308</v>
      </c>
      <c r="L24" s="23">
        <v>1</v>
      </c>
      <c r="M24" s="23">
        <v>3</v>
      </c>
      <c r="N24" s="23">
        <f>+L24*M24</f>
        <v>3</v>
      </c>
      <c r="O24" s="87" t="str">
        <f>+'[11]Calificación de Riesgos'!H9</f>
        <v>MODERADA</v>
      </c>
      <c r="P24" s="19" t="s">
        <v>7</v>
      </c>
      <c r="Q24" s="22" t="s">
        <v>309</v>
      </c>
      <c r="R24" s="21" t="s">
        <v>310</v>
      </c>
      <c r="S24" s="20">
        <v>43466</v>
      </c>
      <c r="T24" s="20">
        <v>43830</v>
      </c>
      <c r="U24" s="19" t="s">
        <v>311</v>
      </c>
      <c r="V24" s="24" t="s">
        <v>611</v>
      </c>
      <c r="W24" s="24" t="s">
        <v>612</v>
      </c>
      <c r="X24" s="24" t="s">
        <v>446</v>
      </c>
      <c r="Y24" s="21" t="s">
        <v>447</v>
      </c>
      <c r="Z24" s="21" t="s">
        <v>476</v>
      </c>
      <c r="AA24" s="21" t="s">
        <v>476</v>
      </c>
      <c r="AB24" s="77"/>
      <c r="AC24" s="77"/>
      <c r="AD24" s="77"/>
      <c r="AE24" s="77"/>
      <c r="AF24" s="77"/>
      <c r="AG24" s="77"/>
      <c r="AH24" s="77"/>
      <c r="AI24" s="77"/>
    </row>
    <row r="25" spans="1:35" ht="313.5" x14ac:dyDescent="0.3">
      <c r="A25" s="191">
        <v>6</v>
      </c>
      <c r="B25" s="190" t="str">
        <f>+[11]Identificacion!B9</f>
        <v>ATENCIÓN INTEGRAL Y SERVICIOS A GRUPOS DE INTERÉS</v>
      </c>
      <c r="C25" s="190" t="str">
        <f>+[11]Identificacion!C9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90" t="str">
        <f>+[11]Identificacion!D9</f>
        <v>1. Continuos cambios en la información de origen técnico y económico 
2. Desactualización de la información publicada por parte de las fuentes de información técnica y/o económica
3. Error humano en el manejo de la información</v>
      </c>
      <c r="E25" s="190" t="str">
        <f>+[11]Identificacion!E9</f>
        <v xml:space="preserve">Suministro de información errónea y/o desactualizada al publico objetivo para la promoción del sector minero </v>
      </c>
      <c r="F25" s="190" t="str">
        <f>+[11]Identificacion!F9</f>
        <v>1. Desgaste administrativo 
2. Desmejoramiento de la imagen institucional
3. Perdida de credibilidad de la ANM</v>
      </c>
      <c r="G25" s="191">
        <f>+[11]Probabilidad!E19</f>
        <v>3</v>
      </c>
      <c r="H25" s="191">
        <f>+'[11]Impacto '!D11</f>
        <v>3</v>
      </c>
      <c r="I25" s="191">
        <f>+G25*H25</f>
        <v>9</v>
      </c>
      <c r="J25" s="219" t="str">
        <f>IF(AND(I25&gt;=0,I25&lt;=4),'[11]Calificación de Riesgos'!$H$10,IF(I25&lt;7,'[11]Calificación de Riesgos'!$H$9,IF(I25&lt;13,'[11]Calificación de Riesgos'!$H$8,IF(I25&lt;=25,'[11]Calificación de Riesgos'!$H$7))))</f>
        <v>ALTA</v>
      </c>
      <c r="K25" s="190" t="s">
        <v>312</v>
      </c>
      <c r="L25" s="191">
        <v>1</v>
      </c>
      <c r="M25" s="191">
        <v>3</v>
      </c>
      <c r="N25" s="23"/>
      <c r="O25" s="220" t="str">
        <f>+'[11]Calificación de Riesgos'!H9</f>
        <v>MODERADA</v>
      </c>
      <c r="P25" s="216" t="s">
        <v>7</v>
      </c>
      <c r="Q25" s="22" t="s">
        <v>313</v>
      </c>
      <c r="R25" s="93" t="s">
        <v>314</v>
      </c>
      <c r="S25" s="20">
        <v>43496</v>
      </c>
      <c r="T25" s="20">
        <v>43631</v>
      </c>
      <c r="U25" s="19" t="s">
        <v>315</v>
      </c>
      <c r="V25" s="217" t="s">
        <v>613</v>
      </c>
      <c r="W25" s="127" t="s">
        <v>614</v>
      </c>
      <c r="X25" s="128" t="s">
        <v>598</v>
      </c>
      <c r="Y25" s="115" t="s">
        <v>447</v>
      </c>
      <c r="Z25" s="21" t="s">
        <v>476</v>
      </c>
      <c r="AA25" s="21" t="s">
        <v>476</v>
      </c>
      <c r="AB25" s="77"/>
      <c r="AC25" s="77"/>
      <c r="AD25" s="77"/>
      <c r="AE25" s="77"/>
      <c r="AF25" s="77"/>
      <c r="AG25" s="77"/>
      <c r="AH25" s="77"/>
      <c r="AI25" s="77"/>
    </row>
    <row r="26" spans="1:35" ht="82.5" x14ac:dyDescent="0.3">
      <c r="A26" s="191"/>
      <c r="B26" s="190"/>
      <c r="C26" s="190"/>
      <c r="D26" s="190"/>
      <c r="E26" s="190"/>
      <c r="F26" s="190"/>
      <c r="G26" s="191"/>
      <c r="H26" s="191"/>
      <c r="I26" s="191"/>
      <c r="J26" s="219"/>
      <c r="K26" s="190"/>
      <c r="L26" s="191"/>
      <c r="M26" s="191"/>
      <c r="N26" s="77"/>
      <c r="O26" s="220"/>
      <c r="P26" s="216"/>
      <c r="Q26" s="22" t="s">
        <v>316</v>
      </c>
      <c r="R26" s="93" t="s">
        <v>317</v>
      </c>
      <c r="S26" s="20">
        <v>43496</v>
      </c>
      <c r="T26" s="20">
        <v>43814</v>
      </c>
      <c r="U26" s="19" t="s">
        <v>318</v>
      </c>
      <c r="V26" s="218"/>
      <c r="W26" s="129" t="s">
        <v>615</v>
      </c>
      <c r="X26" s="128" t="s">
        <v>446</v>
      </c>
      <c r="Y26" s="115" t="s">
        <v>447</v>
      </c>
      <c r="Z26" s="21" t="s">
        <v>476</v>
      </c>
      <c r="AA26" s="21" t="s">
        <v>476</v>
      </c>
    </row>
    <row r="27" spans="1:35" x14ac:dyDescent="0.3">
      <c r="V27" s="25"/>
      <c r="W27" s="25"/>
      <c r="X27" s="25"/>
      <c r="Y27" s="25"/>
      <c r="Z27" s="25"/>
      <c r="AA27" s="25"/>
    </row>
    <row r="28" spans="1:35" x14ac:dyDescent="0.3">
      <c r="V28" s="25"/>
      <c r="W28" s="25"/>
      <c r="X28" s="25"/>
      <c r="Y28" s="25"/>
      <c r="Z28" s="25"/>
      <c r="AA28" s="25"/>
    </row>
    <row r="29" spans="1:35" x14ac:dyDescent="0.3">
      <c r="V29" s="25"/>
      <c r="W29" s="25"/>
      <c r="X29" s="25"/>
      <c r="Y29" s="25"/>
      <c r="Z29" s="25"/>
      <c r="AA29" s="25"/>
    </row>
    <row r="30" spans="1:35" x14ac:dyDescent="0.3">
      <c r="V30" s="25"/>
      <c r="W30" s="25"/>
      <c r="X30" s="25"/>
      <c r="Y30" s="25"/>
      <c r="Z30" s="25"/>
      <c r="AA30" s="25"/>
    </row>
    <row r="31" spans="1:35" x14ac:dyDescent="0.3">
      <c r="V31" s="25"/>
      <c r="W31" s="25"/>
      <c r="X31" s="25"/>
      <c r="Y31" s="25"/>
      <c r="Z31" s="25"/>
      <c r="AA31" s="25"/>
    </row>
    <row r="32" spans="1:35" x14ac:dyDescent="0.3">
      <c r="V32" s="25"/>
      <c r="W32" s="25"/>
      <c r="X32" s="25"/>
      <c r="Y32" s="25"/>
      <c r="Z32" s="25"/>
      <c r="AA32" s="25"/>
    </row>
    <row r="33" spans="22:27" x14ac:dyDescent="0.3">
      <c r="V33" s="25"/>
      <c r="W33" s="25"/>
      <c r="X33" s="25"/>
      <c r="Y33" s="25"/>
      <c r="Z33" s="25"/>
      <c r="AA33" s="25"/>
    </row>
    <row r="34" spans="22:27" x14ac:dyDescent="0.3">
      <c r="V34" s="25"/>
      <c r="W34" s="25"/>
      <c r="X34" s="25"/>
      <c r="Y34" s="25"/>
      <c r="Z34" s="25"/>
      <c r="AA34" s="25"/>
    </row>
    <row r="35" spans="22:27" x14ac:dyDescent="0.3">
      <c r="V35" s="25"/>
      <c r="W35" s="25"/>
      <c r="X35" s="25"/>
      <c r="Y35" s="25"/>
      <c r="Z35" s="25"/>
      <c r="AA35" s="25"/>
    </row>
  </sheetData>
  <mergeCells count="84">
    <mergeCell ref="V25:V26"/>
    <mergeCell ref="A1:AA5"/>
    <mergeCell ref="P25:P26"/>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x14:cfRule>
          <x14:cfRule type="containsText" priority="9" operator="containsText" id="{7CC59478-2631-4F5C-A61B-A3745AB732A9}">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x14:cfRule>
          <x14:cfRule type="containsText" priority="4" operator="containsText" id="{0CFE4428-13ED-409C-AA33-E0C5BE605A66}">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activeCell="A10" sqref="A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7" width="30.140625" style="14" customWidth="1"/>
    <col min="28" max="36" width="0" style="14" hidden="1" customWidth="1"/>
    <col min="37" max="16384" width="11.42578125" style="14"/>
  </cols>
  <sheetData>
    <row r="1" spans="1:35" ht="16.5" customHeight="1" x14ac:dyDescent="0.3">
      <c r="A1" s="177" t="s">
        <v>331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221"/>
      <c r="V6" s="156" t="s">
        <v>54</v>
      </c>
      <c r="W6" s="156"/>
      <c r="X6" s="156"/>
      <c r="Y6" s="156"/>
      <c r="Z6" s="156"/>
      <c r="AA6" s="156"/>
      <c r="AB6" s="150" t="s">
        <v>53</v>
      </c>
      <c r="AC6" s="150"/>
      <c r="AD6" s="150"/>
      <c r="AE6" s="150"/>
      <c r="AF6" s="150"/>
      <c r="AG6" s="150"/>
      <c r="AH6" s="150"/>
      <c r="AI6" s="151"/>
    </row>
    <row r="7" spans="1:35" s="25" customFormat="1" ht="27"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221"/>
      <c r="V7" s="156"/>
      <c r="W7" s="156"/>
      <c r="X7" s="156"/>
      <c r="Y7" s="156"/>
      <c r="Z7" s="156"/>
      <c r="AA7" s="156"/>
      <c r="AB7" s="153"/>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97" t="s">
        <v>29</v>
      </c>
      <c r="W8" s="97" t="s">
        <v>28</v>
      </c>
      <c r="X8" s="97" t="s">
        <v>27</v>
      </c>
      <c r="Y8" s="97" t="s">
        <v>23</v>
      </c>
      <c r="Z8" s="97" t="s">
        <v>22</v>
      </c>
      <c r="AA8" s="97" t="s">
        <v>21</v>
      </c>
      <c r="AB8" s="26" t="s">
        <v>26</v>
      </c>
      <c r="AC8" s="26" t="s">
        <v>25</v>
      </c>
      <c r="AD8" s="26" t="s">
        <v>24</v>
      </c>
      <c r="AE8" s="26" t="s">
        <v>23</v>
      </c>
      <c r="AF8" s="26" t="s">
        <v>22</v>
      </c>
      <c r="AG8" s="26" t="s">
        <v>21</v>
      </c>
      <c r="AH8" s="26" t="s">
        <v>20</v>
      </c>
      <c r="AI8" s="26" t="s">
        <v>19</v>
      </c>
    </row>
    <row r="9" spans="1:35" s="17" customFormat="1" ht="198.75" customHeight="1" x14ac:dyDescent="0.25">
      <c r="A9" s="23">
        <v>1</v>
      </c>
      <c r="B9" s="22" t="str">
        <f>+[12]Identificacion!B4</f>
        <v>GESTION INTEGRAL DE LA INFORMACIÓN MINERA</v>
      </c>
      <c r="C9" s="22" t="str">
        <f>+[12]Identificacion!C4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2" t="str">
        <f>+[12]Identificacion!D4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8" t="str">
        <f>+[12]Identificacion!E4</f>
        <v>Incumplimiento de los términos establecidos en la Ley con relación a  la inscripción de actos administrativos en el Catastro Minero Colombiano</v>
      </c>
      <c r="F9" s="18" t="str">
        <f>+[12]Identificacion!F4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3">
        <f>+[12]Probabilidad!E14</f>
        <v>3</v>
      </c>
      <c r="H9" s="23">
        <f>+'[12]Impacto '!D6</f>
        <v>2</v>
      </c>
      <c r="I9" s="23">
        <f t="shared" ref="I9:I10" si="0">+G9*H9</f>
        <v>6</v>
      </c>
      <c r="J9" s="87" t="str">
        <f>IF(AND(I9&gt;=0,I9&lt;=4),'[12]Calificación de Riesgos'!$H$10,IF(I9&lt;7,'[12]Calificación de Riesgos'!$H$9,IF(I9&lt;13,'[12]Calificación de Riesgos'!$H$8,IF(I9&lt;=25,'[12]Calificación de Riesgos'!$H$7))))</f>
        <v>MODERADA</v>
      </c>
      <c r="K9" s="22" t="s">
        <v>327</v>
      </c>
      <c r="L9" s="23">
        <v>1</v>
      </c>
      <c r="M9" s="23">
        <v>2</v>
      </c>
      <c r="N9" s="23">
        <f>+L9*M9</f>
        <v>2</v>
      </c>
      <c r="O9" s="89" t="str">
        <f>IF(AND(N9&gt;=0,N9&lt;=4),'[12]Calificación de Riesgos'!$H$10,IF(N9&lt;7,'[12]Calificación de Riesgos'!$H$9,IF(N9&lt;13,'[12]Calificación de Riesgos'!$H$8,IF(N9&lt;=25,'[12]Calificación de Riesgos'!$H$7))))</f>
        <v>BAJA</v>
      </c>
      <c r="P9" s="18" t="s">
        <v>7</v>
      </c>
      <c r="Q9" s="96" t="s">
        <v>621</v>
      </c>
      <c r="R9" s="96" t="s">
        <v>328</v>
      </c>
      <c r="S9" s="109">
        <v>43556</v>
      </c>
      <c r="T9" s="109">
        <v>43814</v>
      </c>
      <c r="U9" s="114" t="s">
        <v>329</v>
      </c>
      <c r="V9" s="66" t="s">
        <v>616</v>
      </c>
      <c r="W9" s="66" t="s">
        <v>617</v>
      </c>
      <c r="X9" s="66" t="s">
        <v>467</v>
      </c>
      <c r="Y9" s="66" t="s">
        <v>618</v>
      </c>
      <c r="Z9" s="66" t="s">
        <v>619</v>
      </c>
      <c r="AA9" s="66" t="s">
        <v>620</v>
      </c>
      <c r="AB9" s="18"/>
      <c r="AC9" s="18"/>
      <c r="AD9" s="18"/>
      <c r="AE9" s="18"/>
      <c r="AF9" s="18"/>
      <c r="AG9" s="18"/>
      <c r="AH9" s="18"/>
      <c r="AI9" s="18"/>
    </row>
    <row r="10" spans="1:35" s="17" customFormat="1" ht="138" customHeight="1" x14ac:dyDescent="0.25">
      <c r="A10" s="23">
        <v>2</v>
      </c>
      <c r="B10" s="22" t="str">
        <f>+[12]Identificacion!B5</f>
        <v>GESTION INTEGRAL DE LA INFORMACIÓN MINERA</v>
      </c>
      <c r="C10" s="22" t="str">
        <f>+[12]Identificacion!C5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2" t="str">
        <f>+[12]Identificacion!D5</f>
        <v>1. Información errónea y/o error humano
2. Debilidad en control de calidad</v>
      </c>
      <c r="E10" s="18" t="str">
        <f>+[12]Identificacion!E5</f>
        <v xml:space="preserve">Realizar la inscripción de ordenes judiciales y/o actos administratrivos que no cumplan con los requisitos de fondo y de forma establecido por la Ley.  </v>
      </c>
      <c r="F10" s="18" t="str">
        <f>+[12]Identificacion!F5</f>
        <v>1. Desactualización de la información en el CMC
2. Reclamaciones por inscripciones indebidas en el Registro Minero Nacional.
3. Falta de confiabilidad en la información</v>
      </c>
      <c r="G10" s="23">
        <f>+[12]Probabilidad!E15</f>
        <v>2</v>
      </c>
      <c r="H10" s="23">
        <f>+'[12]Impacto '!D7</f>
        <v>4</v>
      </c>
      <c r="I10" s="23">
        <f t="shared" si="0"/>
        <v>8</v>
      </c>
      <c r="J10" s="78" t="str">
        <f>IF(AND(I10&gt;=0,I10&lt;=4),'[12]Calificación de Riesgos'!$H$10,IF(I10&lt;7,'[12]Calificación de Riesgos'!$H$9,IF(I10&lt;13,'[12]Calificación de Riesgos'!$H$8,IF(I10&lt;=25,'[12]Calificación de Riesgos'!$H$7))))</f>
        <v>ALTA</v>
      </c>
      <c r="K10" s="22" t="s">
        <v>330</v>
      </c>
      <c r="L10" s="23">
        <v>1</v>
      </c>
      <c r="M10" s="23">
        <v>4</v>
      </c>
      <c r="N10" s="23">
        <f t="shared" ref="N10" si="1">+L10*M10</f>
        <v>4</v>
      </c>
      <c r="O10" s="78" t="str">
        <f>+'[12]Calificación de Riesgos'!H8</f>
        <v>ALTA</v>
      </c>
      <c r="P10" s="18" t="s">
        <v>7</v>
      </c>
      <c r="Q10" s="96" t="s">
        <v>621</v>
      </c>
      <c r="R10" s="96" t="s">
        <v>328</v>
      </c>
      <c r="S10" s="109">
        <v>43556</v>
      </c>
      <c r="T10" s="109">
        <v>43814</v>
      </c>
      <c r="U10" s="114" t="s">
        <v>329</v>
      </c>
      <c r="V10" s="66" t="s">
        <v>616</v>
      </c>
      <c r="W10" s="66" t="s">
        <v>617</v>
      </c>
      <c r="X10" s="66" t="s">
        <v>467</v>
      </c>
      <c r="Y10" s="66" t="s">
        <v>447</v>
      </c>
      <c r="Z10" s="66" t="s">
        <v>476</v>
      </c>
      <c r="AA10" s="66" t="s">
        <v>476</v>
      </c>
      <c r="AB10" s="18"/>
      <c r="AC10" s="18"/>
      <c r="AD10" s="18"/>
      <c r="AE10" s="18"/>
      <c r="AF10" s="18"/>
      <c r="AG10" s="18"/>
      <c r="AH10" s="18"/>
      <c r="AI10"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2" zoomScaleNormal="82" workbookViewId="0">
      <selection activeCell="A10" sqref="A10"/>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0.42578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53.42578125" style="14" customWidth="1"/>
    <col min="23" max="23" width="37.7109375" style="14" customWidth="1"/>
    <col min="24" max="27" width="11.42578125" style="14"/>
    <col min="28" max="35" width="0" style="14" hidden="1" customWidth="1"/>
    <col min="36" max="16384" width="11.42578125" style="14"/>
  </cols>
  <sheetData>
    <row r="1" spans="1:35" ht="16.5" customHeight="1" x14ac:dyDescent="0.3">
      <c r="A1" s="177" t="s">
        <v>326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135" customHeight="1" x14ac:dyDescent="0.25">
      <c r="A9" s="23">
        <v>1</v>
      </c>
      <c r="B9" s="22" t="str">
        <f>+[13]Identificacion!B4</f>
        <v>SEGURIDAD MINERA</v>
      </c>
      <c r="C9" s="22" t="str">
        <f>+[13]Identificacion!C4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2" t="str">
        <f>+[13]Identificacion!D4</f>
        <v>Falta de lineamientos o políticas por parte de la Entidad para garantizar la atención en días y horas no laborales</v>
      </c>
      <c r="E9" s="18" t="str">
        <f>+[13]Identificacion!E4</f>
        <v>Falta de atención de emergencia mineras en días y horas no laborales</v>
      </c>
      <c r="F9" s="18" t="str">
        <f>+[13]Identificacion!F4</f>
        <v>1. No recuperación de los cuerpos en caso de victimas mortales.
2. Incremento en el numero de victimas mortales</v>
      </c>
      <c r="G9" s="23">
        <f>+[13]Probabilidad!E14</f>
        <v>5</v>
      </c>
      <c r="H9" s="23">
        <f>+'[13]Impacto '!D6</f>
        <v>5</v>
      </c>
      <c r="I9" s="23">
        <f t="shared" ref="I9:I10" si="0">+G9*H9</f>
        <v>25</v>
      </c>
      <c r="J9" s="64" t="str">
        <f>IF(AND(I9&gt;=0,I9&lt;=4),'[13]Calificación de Riesgos'!$H$10,IF(I9&lt;7,'[13]Calificación de Riesgos'!$H$9,IF(I9&lt;13,'[13]Calificación de Riesgos'!$H$8,IF(I9&lt;=25,'[13]Calificación de Riesgos'!$H$7))))</f>
        <v>EXTREMA</v>
      </c>
      <c r="K9" s="18" t="str">
        <f>+'[13]Controles R1'!F4</f>
        <v>Programación de disponibilidad de atención en horas y dias no laborales en cada uno de Puntos de Apoyo y/o Estaciones de Seguridad y Salvamento Minero</v>
      </c>
      <c r="L9" s="23">
        <v>4</v>
      </c>
      <c r="M9" s="23">
        <v>5</v>
      </c>
      <c r="N9" s="23">
        <f>+L9*M9</f>
        <v>20</v>
      </c>
      <c r="O9" s="64" t="str">
        <f>IF(AND(N9&gt;=0,N9&lt;=4),'[13]Calificación de Riesgos'!$H$10,IF(N9&lt;7,'[13]Calificación de Riesgos'!$H$9,IF(N9&lt;13,'[13]Calificación de Riesgos'!$H$8,IF(N9&lt;=25,'[13]Calificación de Riesgos'!$H$7))))</f>
        <v>EXTREMA</v>
      </c>
      <c r="P9" s="18" t="s">
        <v>7</v>
      </c>
      <c r="Q9" s="18" t="s">
        <v>320</v>
      </c>
      <c r="R9" s="18" t="s">
        <v>321</v>
      </c>
      <c r="S9" s="20">
        <v>43496</v>
      </c>
      <c r="T9" s="20">
        <v>43814</v>
      </c>
      <c r="U9" s="18" t="s">
        <v>322</v>
      </c>
      <c r="V9" s="21" t="s">
        <v>622</v>
      </c>
      <c r="W9" s="21" t="s">
        <v>623</v>
      </c>
      <c r="X9" s="21" t="s">
        <v>446</v>
      </c>
      <c r="Y9" s="21" t="s">
        <v>447</v>
      </c>
      <c r="Z9" s="21" t="s">
        <v>624</v>
      </c>
      <c r="AA9" s="21" t="s">
        <v>624</v>
      </c>
      <c r="AB9" s="18"/>
      <c r="AC9" s="18"/>
      <c r="AD9" s="18"/>
      <c r="AE9" s="18"/>
      <c r="AF9" s="18"/>
      <c r="AG9" s="18"/>
      <c r="AH9" s="18"/>
      <c r="AI9" s="18"/>
    </row>
    <row r="10" spans="1:35" s="17" customFormat="1" ht="111.75" customHeight="1" x14ac:dyDescent="0.25">
      <c r="A10" s="23">
        <v>2</v>
      </c>
      <c r="B10" s="22" t="str">
        <f>+[13]Identificacion!B5</f>
        <v>SEGURIDAD MINERA</v>
      </c>
      <c r="C10" s="22" t="str">
        <f>+[13]Identificacion!C5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2" t="str">
        <f>+[13]Identificacion!D5</f>
        <v>Incumplimiento de los procedimientos para el mantenimiento de equipos por parte de los responsables.</v>
      </c>
      <c r="E10" s="18" t="str">
        <f>+[13]Identificacion!E5</f>
        <v>Equipos de Salvamento Minero sin el mantenimiento adecuado que interfieran en la adecuada atención de emergencias.</v>
      </c>
      <c r="F10" s="18" t="str">
        <f>+[13]Identificacion!F5</f>
        <v>1. Fallecimiento de los funcionarios y voluntarios que atienden la emergencia.
2. Atención de la emergencia sin equipos y/o con equipos inadecuados.</v>
      </c>
      <c r="G10" s="23">
        <f>+[13]Probabilidad!E15</f>
        <v>1</v>
      </c>
      <c r="H10" s="23">
        <f>+'[13]Impacto '!D7</f>
        <v>5</v>
      </c>
      <c r="I10" s="23">
        <f t="shared" si="0"/>
        <v>5</v>
      </c>
      <c r="J10" s="64" t="str">
        <f>+'[13]Calificación de Riesgos'!H7</f>
        <v>EXTREMA</v>
      </c>
      <c r="K10" s="18" t="str">
        <f>+'[13]Contrles R2'!F4</f>
        <v>Seguimiento permanente al cumplimiento de Plan operativo de ajuste y/o calibración de equipos de salvamento minero y el de mantenimiento de equipos de seguridad y salvamento minero</v>
      </c>
      <c r="L10" s="23">
        <v>1</v>
      </c>
      <c r="M10" s="23">
        <v>4</v>
      </c>
      <c r="N10" s="23">
        <f>+L10*M10</f>
        <v>4</v>
      </c>
      <c r="O10" s="65" t="str">
        <f>+'[13]Calificación de Riesgos'!H8</f>
        <v>ALTA</v>
      </c>
      <c r="P10" s="18" t="s">
        <v>7</v>
      </c>
      <c r="Q10" s="18" t="s">
        <v>323</v>
      </c>
      <c r="R10" s="18" t="s">
        <v>324</v>
      </c>
      <c r="S10" s="20">
        <v>43496</v>
      </c>
      <c r="T10" s="20">
        <v>43814</v>
      </c>
      <c r="U10" s="18" t="s">
        <v>325</v>
      </c>
      <c r="V10" s="21" t="s">
        <v>625</v>
      </c>
      <c r="W10" s="21" t="s">
        <v>626</v>
      </c>
      <c r="X10" s="21" t="s">
        <v>446</v>
      </c>
      <c r="Y10" s="21" t="s">
        <v>447</v>
      </c>
      <c r="Z10" s="21" t="s">
        <v>624</v>
      </c>
      <c r="AA10" s="21" t="s">
        <v>624</v>
      </c>
      <c r="AB10" s="18"/>
      <c r="AC10" s="18"/>
      <c r="AD10" s="18"/>
      <c r="AE10" s="18"/>
      <c r="AF10" s="18"/>
      <c r="AG10" s="18"/>
      <c r="AH10" s="18"/>
      <c r="AI10"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9" operator="containsText" id="{5B9565A3-FC2B-4632-8B5D-AD317C41E811}">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4" operator="containsText" id="{1CC4A484-2136-4DDB-8308-D48A686D56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zoomScale="96" zoomScaleNormal="96"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2.57031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22.140625" style="14" customWidth="1"/>
    <col min="18" max="18" width="21.140625" style="14" customWidth="1"/>
    <col min="19" max="19" width="21.42578125" style="14" customWidth="1"/>
    <col min="20" max="20" width="17.5703125" style="15" customWidth="1"/>
    <col min="21" max="21" width="19.85546875" style="15" customWidth="1"/>
    <col min="22" max="22" width="74.5703125" style="14" customWidth="1"/>
    <col min="23" max="23" width="63.7109375" style="14" customWidth="1"/>
    <col min="24" max="24" width="15.28515625" style="14" customWidth="1"/>
    <col min="25" max="27" width="11.42578125" style="14"/>
    <col min="28" max="35" width="0" style="14" hidden="1" customWidth="1"/>
    <col min="36" max="16384" width="11.42578125" style="14"/>
  </cols>
  <sheetData>
    <row r="1" spans="1:35" ht="16.5" customHeight="1" x14ac:dyDescent="0.3">
      <c r="A1" s="177" t="s">
        <v>424</v>
      </c>
      <c r="B1" s="177"/>
      <c r="C1" s="177"/>
      <c r="D1" s="177"/>
      <c r="E1" s="177"/>
      <c r="F1" s="177"/>
      <c r="G1" s="177"/>
      <c r="H1" s="177"/>
      <c r="I1" s="177"/>
      <c r="J1" s="177"/>
      <c r="K1" s="177"/>
      <c r="L1" s="177"/>
      <c r="M1" s="177"/>
      <c r="N1" s="177"/>
      <c r="O1" s="177"/>
      <c r="P1" s="177"/>
      <c r="Q1" s="177"/>
      <c r="R1" s="177"/>
      <c r="S1" s="177"/>
      <c r="T1" s="177"/>
      <c r="U1" s="177"/>
      <c r="V1" s="73"/>
      <c r="W1" s="29"/>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73"/>
      <c r="W2" s="29"/>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73"/>
      <c r="W3" s="29"/>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73"/>
      <c r="W4" s="29"/>
    </row>
    <row r="5" spans="1:35" ht="13.5" customHeight="1" x14ac:dyDescent="0.3">
      <c r="A5" s="177"/>
      <c r="B5" s="177"/>
      <c r="C5" s="177"/>
      <c r="D5" s="177"/>
      <c r="E5" s="177"/>
      <c r="F5" s="177"/>
      <c r="G5" s="177"/>
      <c r="H5" s="177"/>
      <c r="I5" s="177"/>
      <c r="J5" s="177"/>
      <c r="K5" s="177"/>
      <c r="L5" s="177"/>
      <c r="M5" s="177"/>
      <c r="N5" s="177"/>
      <c r="O5" s="177"/>
      <c r="P5" s="177"/>
      <c r="Q5" s="177"/>
      <c r="R5" s="177"/>
      <c r="S5" s="177"/>
      <c r="T5" s="177"/>
      <c r="U5" s="177"/>
      <c r="V5" s="73"/>
      <c r="W5" s="29"/>
    </row>
    <row r="6" spans="1:35" s="25" customFormat="1" ht="45" customHeight="1" x14ac:dyDescent="0.3">
      <c r="A6" s="156" t="s">
        <v>59</v>
      </c>
      <c r="B6" s="156"/>
      <c r="C6" s="156"/>
      <c r="D6" s="156"/>
      <c r="E6" s="156"/>
      <c r="F6" s="156"/>
      <c r="G6" s="155" t="s">
        <v>58</v>
      </c>
      <c r="H6" s="155"/>
      <c r="I6" s="155"/>
      <c r="J6" s="155"/>
      <c r="K6" s="27"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7"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7" t="s">
        <v>48</v>
      </c>
      <c r="B8" s="27" t="s">
        <v>47</v>
      </c>
      <c r="C8" s="27" t="s">
        <v>46</v>
      </c>
      <c r="D8" s="27" t="s">
        <v>45</v>
      </c>
      <c r="E8" s="27" t="s">
        <v>44</v>
      </c>
      <c r="F8" s="27" t="s">
        <v>43</v>
      </c>
      <c r="G8" s="27" t="s">
        <v>39</v>
      </c>
      <c r="H8" s="27" t="s">
        <v>38</v>
      </c>
      <c r="I8" s="27" t="s">
        <v>42</v>
      </c>
      <c r="J8" s="27" t="s">
        <v>41</v>
      </c>
      <c r="K8" s="27" t="s">
        <v>40</v>
      </c>
      <c r="L8" s="27" t="s">
        <v>39</v>
      </c>
      <c r="M8" s="27" t="s">
        <v>38</v>
      </c>
      <c r="N8" s="27" t="s">
        <v>37</v>
      </c>
      <c r="O8" s="27" t="s">
        <v>36</v>
      </c>
      <c r="P8" s="27" t="s">
        <v>35</v>
      </c>
      <c r="Q8" s="27" t="s">
        <v>34</v>
      </c>
      <c r="R8" s="27" t="s">
        <v>33</v>
      </c>
      <c r="S8" s="27" t="s">
        <v>32</v>
      </c>
      <c r="T8" s="27" t="s">
        <v>31</v>
      </c>
      <c r="U8" s="27" t="s">
        <v>30</v>
      </c>
      <c r="V8" s="27" t="s">
        <v>29</v>
      </c>
      <c r="W8" s="27" t="s">
        <v>28</v>
      </c>
      <c r="X8" s="27" t="s">
        <v>27</v>
      </c>
      <c r="Y8" s="27" t="s">
        <v>23</v>
      </c>
      <c r="Z8" s="27" t="s">
        <v>22</v>
      </c>
      <c r="AA8" s="27" t="s">
        <v>21</v>
      </c>
      <c r="AB8" s="27" t="s">
        <v>26</v>
      </c>
      <c r="AC8" s="27" t="s">
        <v>25</v>
      </c>
      <c r="AD8" s="27" t="s">
        <v>24</v>
      </c>
      <c r="AE8" s="27" t="s">
        <v>23</v>
      </c>
      <c r="AF8" s="27" t="s">
        <v>22</v>
      </c>
      <c r="AG8" s="27" t="s">
        <v>21</v>
      </c>
      <c r="AH8" s="27" t="s">
        <v>20</v>
      </c>
      <c r="AI8" s="27" t="s">
        <v>19</v>
      </c>
    </row>
    <row r="9" spans="1:35" s="17" customFormat="1" ht="229.5" customHeight="1" x14ac:dyDescent="0.25">
      <c r="A9" s="75">
        <v>1</v>
      </c>
      <c r="B9" s="76" t="str">
        <f>+[14]Identificacion!B4</f>
        <v>GESTION INTEGRAL PARA EL SEGUIMIENTO Y CONTROL A LOS TITULOS MINEROS - REGALIAS</v>
      </c>
      <c r="C9" s="76" t="str">
        <f>+[14]Identificacion!C4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76" t="str">
        <f>+[14]Identificacion!D4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76" t="str">
        <f>+[14]Identificacion!E4</f>
        <v>No causación de la totalidad de los recursos</v>
      </c>
      <c r="F9" s="76" t="str">
        <f>+[14]Identificacion!F4</f>
        <v>1. Estados financieros de la Entidad no acordes a la realidad.
2. Expectativas frente a posibles recaudos.
3. Dificultades para sanear cartera</v>
      </c>
      <c r="G9" s="75">
        <f>+'[14]Cruce Variables'!L9</f>
        <v>3</v>
      </c>
      <c r="H9" s="75">
        <f>+'[14]Cruce Variables'!M9</f>
        <v>4</v>
      </c>
      <c r="I9" s="75">
        <f t="shared" ref="I9:I20" si="0">+G9*H9</f>
        <v>12</v>
      </c>
      <c r="J9" s="135" t="str">
        <f>IF(AND(I9&gt;=0,I9&lt;=4),'[14]Calificación de Riesgos'!$H$10,IF(I9&lt;7,'[14]Calificación de Riesgos'!$H$9,IF(I9&lt;13,'[14]Calificación de Riesgos'!$H$8,IF(I9&lt;=25,'[14]Calificación de Riesgos'!$H$7))))</f>
        <v>ALTA</v>
      </c>
      <c r="K9" s="76" t="s">
        <v>425</v>
      </c>
      <c r="L9" s="75">
        <v>2</v>
      </c>
      <c r="M9" s="75">
        <v>4</v>
      </c>
      <c r="N9" s="75">
        <f t="shared" ref="N9:N20" si="1">+L9*M9</f>
        <v>8</v>
      </c>
      <c r="O9" s="135" t="str">
        <f>IF(AND(N9&gt;=0,N9&lt;=4),'[14]Calificación de Riesgos'!$H$10,IF(N9&lt;7,'[14]Calificación de Riesgos'!$H$9,IF(N9&lt;13,'[14]Calificación de Riesgos'!$H$8,IF(N9&lt;=25,'[14]Calificación de Riesgos'!$H$7))))</f>
        <v>ALTA</v>
      </c>
      <c r="P9" s="18" t="s">
        <v>7</v>
      </c>
      <c r="Q9" s="66" t="s">
        <v>426</v>
      </c>
      <c r="R9" s="66" t="s">
        <v>427</v>
      </c>
      <c r="S9" s="98">
        <v>43556</v>
      </c>
      <c r="T9" s="98">
        <v>43829</v>
      </c>
      <c r="U9" s="76" t="s">
        <v>428</v>
      </c>
      <c r="V9" s="18" t="s">
        <v>667</v>
      </c>
      <c r="W9" s="18" t="s">
        <v>667</v>
      </c>
      <c r="X9" s="119" t="s">
        <v>446</v>
      </c>
      <c r="Y9" s="119" t="s">
        <v>447</v>
      </c>
      <c r="Z9" s="119" t="s">
        <v>448</v>
      </c>
      <c r="AA9" s="119" t="s">
        <v>448</v>
      </c>
      <c r="AB9" s="18"/>
      <c r="AC9" s="18"/>
      <c r="AD9" s="18"/>
      <c r="AE9" s="18"/>
      <c r="AF9" s="18"/>
      <c r="AG9" s="18"/>
      <c r="AH9" s="18"/>
      <c r="AI9" s="18"/>
    </row>
    <row r="10" spans="1:35" s="17" customFormat="1" ht="159" customHeight="1" x14ac:dyDescent="0.25">
      <c r="A10" s="75">
        <v>2</v>
      </c>
      <c r="B10" s="76" t="str">
        <f>+[14]Identificacion!B5</f>
        <v>GESTION INTEGRAL PARA EL SEGUIMIENTO Y CONTROL A LOS TITULOS MINEROS</v>
      </c>
      <c r="C10" s="76" t="str">
        <f>+[14]Identificacion!C5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76" t="str">
        <f>+[14]Identificacion!D5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76" t="str">
        <f>+[14]Identificacion!E5</f>
        <v xml:space="preserve">No dar respuesta de fondo y ajustada al marco legal a las PQRS y trámites de los mineros y ciudadanos en general. </v>
      </c>
      <c r="F10" s="76" t="str">
        <f>+[14]Identificacion!F5</f>
        <v>1. Sanciones disciplinarias
2. Insatisfacción peticionarios.
3. Pérdida credibilidad en la Entidad.
4. Trámites inconclusos y cada día con mayor complejidad para resolver de fondo</v>
      </c>
      <c r="G10" s="75">
        <f>+'[14]Cruce Variables'!L10</f>
        <v>5</v>
      </c>
      <c r="H10" s="75">
        <f>+'[14]Cruce Variables'!M10</f>
        <v>4</v>
      </c>
      <c r="I10" s="75">
        <f t="shared" si="0"/>
        <v>20</v>
      </c>
      <c r="J10" s="88" t="str">
        <f>IF(AND(I10&gt;=0,I10&lt;=4),'[14]Calificación de Riesgos'!$H$10,IF(I10&lt;7,'[14]Calificación de Riesgos'!$H$9,IF(I10&lt;13,'[14]Calificación de Riesgos'!$H$8,IF(I10&lt;=25,'[14]Calificación de Riesgos'!$H$7))))</f>
        <v>EXTREMA</v>
      </c>
      <c r="K10" s="76" t="s">
        <v>332</v>
      </c>
      <c r="L10" s="75">
        <v>2</v>
      </c>
      <c r="M10" s="75">
        <v>4</v>
      </c>
      <c r="N10" s="75">
        <f t="shared" si="1"/>
        <v>8</v>
      </c>
      <c r="O10" s="135" t="str">
        <f>IF(AND(N10&gt;=0,N10&lt;=4),'[14]Calificación de Riesgos'!$H$10,IF(N10&lt;7,'[14]Calificación de Riesgos'!$H$9,IF(N10&lt;13,'[14]Calificación de Riesgos'!$H$8,IF(N10&lt;=25,'[14]Calificación de Riesgos'!$H$7))))</f>
        <v>ALTA</v>
      </c>
      <c r="P10" s="18" t="s">
        <v>7</v>
      </c>
      <c r="Q10" s="76" t="s">
        <v>333</v>
      </c>
      <c r="R10" s="76" t="s">
        <v>334</v>
      </c>
      <c r="S10" s="98">
        <v>43511</v>
      </c>
      <c r="T10" s="98">
        <v>43829</v>
      </c>
      <c r="U10" s="76" t="s">
        <v>335</v>
      </c>
      <c r="V10" s="18" t="s">
        <v>673</v>
      </c>
      <c r="W10" s="91" t="s">
        <v>674</v>
      </c>
      <c r="X10" s="134" t="s">
        <v>446</v>
      </c>
      <c r="Y10" s="134" t="s">
        <v>447</v>
      </c>
      <c r="Z10" s="134" t="s">
        <v>448</v>
      </c>
      <c r="AA10" s="134" t="s">
        <v>448</v>
      </c>
      <c r="AB10" s="18"/>
      <c r="AC10" s="18"/>
      <c r="AD10" s="18"/>
      <c r="AE10" s="18"/>
      <c r="AF10" s="18"/>
      <c r="AG10" s="18"/>
      <c r="AH10" s="18"/>
      <c r="AI10" s="18"/>
    </row>
    <row r="11" spans="1:35" s="17" customFormat="1" ht="148.5" customHeight="1" x14ac:dyDescent="0.25">
      <c r="A11" s="75">
        <v>3</v>
      </c>
      <c r="B11" s="76" t="str">
        <f>+[14]Identificacion!B6</f>
        <v>GESTION INTEGRAL PARA EL SEGUIMIENTO Y CONTROL A LOS TITULOS MINEROS</v>
      </c>
      <c r="C11" s="76" t="str">
        <f>+[14]Identificacion!C6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76" t="str">
        <f>+[14]Identificacion!D6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76" t="str">
        <f>+[14]Identificacion!E6</f>
        <v xml:space="preserve">No dar respuesta oportuna a las PQRS y trámites de los mineros y ciudadanos en general. </v>
      </c>
      <c r="F11" s="76" t="str">
        <f>+[14]Identificacion!F6</f>
        <v>1. Sanciones disciplinarias
2. Insatisfacción peticionarios.
3. Pérdida credibilidad en la Entidad.
4. Trámites inconclusos y cada día con mayor complejidad para resolver de fondo</v>
      </c>
      <c r="G11" s="75">
        <f>+'[14]Cruce Variables'!L11</f>
        <v>5</v>
      </c>
      <c r="H11" s="75">
        <f>+'[14]Cruce Variables'!M11</f>
        <v>4</v>
      </c>
      <c r="I11" s="75">
        <f t="shared" si="0"/>
        <v>20</v>
      </c>
      <c r="J11" s="88" t="str">
        <f>IF(AND(I11&gt;=0,I11&lt;=4),'[14]Calificación de Riesgos'!$H$10,IF(I11&lt;7,'[14]Calificación de Riesgos'!$H$9,IF(I11&lt;13,'[14]Calificación de Riesgos'!$H$8,IF(I11&lt;=25,'[14]Calificación de Riesgos'!$H$7))))</f>
        <v>EXTREMA</v>
      </c>
      <c r="K11" s="76" t="s">
        <v>332</v>
      </c>
      <c r="L11" s="75">
        <v>2</v>
      </c>
      <c r="M11" s="75">
        <v>4</v>
      </c>
      <c r="N11" s="75">
        <f t="shared" si="1"/>
        <v>8</v>
      </c>
      <c r="O11" s="135" t="str">
        <f>IF(AND(N11&gt;=0,N11&lt;=4),'[14]Calificación de Riesgos'!$H$10,IF(N11&lt;7,'[14]Calificación de Riesgos'!$H$9,IF(N11&lt;13,'[14]Calificación de Riesgos'!$H$8,IF(N11&lt;=25,'[14]Calificación de Riesgos'!$H$7))))</f>
        <v>ALTA</v>
      </c>
      <c r="P11" s="18" t="s">
        <v>7</v>
      </c>
      <c r="Q11" s="76" t="s">
        <v>333</v>
      </c>
      <c r="R11" s="76" t="s">
        <v>334</v>
      </c>
      <c r="S11" s="98">
        <v>43511</v>
      </c>
      <c r="T11" s="98">
        <v>43829</v>
      </c>
      <c r="U11" s="76" t="s">
        <v>335</v>
      </c>
      <c r="V11" s="18" t="s">
        <v>673</v>
      </c>
      <c r="W11" s="18" t="s">
        <v>675</v>
      </c>
      <c r="X11" s="134" t="s">
        <v>446</v>
      </c>
      <c r="Y11" s="134" t="s">
        <v>447</v>
      </c>
      <c r="Z11" s="134" t="s">
        <v>448</v>
      </c>
      <c r="AA11" s="134" t="s">
        <v>448</v>
      </c>
      <c r="AB11" s="18"/>
      <c r="AC11" s="18"/>
      <c r="AD11" s="18"/>
      <c r="AE11" s="18"/>
      <c r="AF11" s="18"/>
      <c r="AG11" s="18"/>
      <c r="AH11" s="18"/>
      <c r="AI11" s="18"/>
    </row>
    <row r="12" spans="1:35" s="17" customFormat="1" ht="174" customHeight="1" x14ac:dyDescent="0.25">
      <c r="A12" s="75">
        <v>4</v>
      </c>
      <c r="B12" s="76" t="str">
        <f>+[14]Identificacion!B7</f>
        <v>GESTION INTEGRAL PARA EL SEGUIMIENTO Y CONTROL A LOS TITULOS MINEROS</v>
      </c>
      <c r="C12" s="76" t="str">
        <f>+[14]Identificacion!C7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76" t="str">
        <f>+[14]Identificacion!D7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76" t="str">
        <f>+[14]Identificacion!E7</f>
        <v xml:space="preserve">Incumplimiento de la normatividad Minera por parte de los funcionarios,  al no identificar y documentar el incumplimiento de las obligaciones por parte de los titulares mineros.
</v>
      </c>
      <c r="F12" s="76" t="str">
        <f>+[14]Identificacion!F7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5">
        <f>+'[14]Cruce Variables'!L12</f>
        <v>4</v>
      </c>
      <c r="H12" s="75">
        <f>+'[14]Cruce Variables'!M12</f>
        <v>4</v>
      </c>
      <c r="I12" s="75">
        <f t="shared" si="0"/>
        <v>16</v>
      </c>
      <c r="J12" s="88" t="str">
        <f>IF(AND(I12&gt;=0,I12&lt;=4),'[14]Calificación de Riesgos'!$H$10,IF(I12&lt;7,'[14]Calificación de Riesgos'!$H$9,IF(I12&lt;13,'[14]Calificación de Riesgos'!$H$8,IF(I12&lt;=25,'[14]Calificación de Riesgos'!$H$7))))</f>
        <v>EXTREMA</v>
      </c>
      <c r="K12" s="76" t="s">
        <v>336</v>
      </c>
      <c r="L12" s="75">
        <v>2</v>
      </c>
      <c r="M12" s="75">
        <v>4</v>
      </c>
      <c r="N12" s="75">
        <f t="shared" si="1"/>
        <v>8</v>
      </c>
      <c r="O12" s="135" t="str">
        <f>IF(AND(N12&gt;=0,N12&lt;=4),'[14]Calificación de Riesgos'!$H$10,IF(N12&lt;7,'[14]Calificación de Riesgos'!$H$9,IF(N12&lt;13,'[14]Calificación de Riesgos'!$H$8,IF(N12&lt;=25,'[14]Calificación de Riesgos'!$H$7))))</f>
        <v>ALTA</v>
      </c>
      <c r="P12" s="18" t="s">
        <v>7</v>
      </c>
      <c r="Q12" s="76" t="s">
        <v>337</v>
      </c>
      <c r="R12" s="76" t="s">
        <v>338</v>
      </c>
      <c r="S12" s="98">
        <v>43556</v>
      </c>
      <c r="T12" s="98">
        <v>43829</v>
      </c>
      <c r="U12" s="76" t="s">
        <v>339</v>
      </c>
      <c r="V12" s="18" t="s">
        <v>676</v>
      </c>
      <c r="W12" s="18" t="s">
        <v>677</v>
      </c>
      <c r="X12" s="134" t="s">
        <v>446</v>
      </c>
      <c r="Y12" s="134" t="s">
        <v>447</v>
      </c>
      <c r="Z12" s="134" t="s">
        <v>448</v>
      </c>
      <c r="AA12" s="134" t="s">
        <v>448</v>
      </c>
      <c r="AB12" s="18"/>
      <c r="AC12" s="18"/>
      <c r="AD12" s="18"/>
      <c r="AE12" s="18"/>
      <c r="AF12" s="18"/>
      <c r="AG12" s="18"/>
      <c r="AH12" s="18"/>
      <c r="AI12" s="18"/>
    </row>
    <row r="13" spans="1:35" s="17" customFormat="1" ht="183" customHeight="1" x14ac:dyDescent="0.25">
      <c r="A13" s="75">
        <v>5</v>
      </c>
      <c r="B13" s="76" t="str">
        <f>+[14]Identificacion!B8</f>
        <v>GESTION INTEGRAL PARA EL SEGUIMIENTO Y CONTROL A LOS TITULOS MINEROS</v>
      </c>
      <c r="C13" s="76" t="str">
        <f>+[14]Identificacion!C8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76" t="str">
        <f>+[14]Identificacion!D8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76" t="str">
        <f>+[14]Identificacion!E8</f>
        <v xml:space="preserve">Elaborar actos administrativos que no respondan a la realidad de los hechos, o que no cumplan el marco legal normativo (Actos que se desprende de las evaluaciones documentales o de las inspecciones de campo) 
</v>
      </c>
      <c r="F13" s="76" t="str">
        <f>+[14]Identificacion!F8</f>
        <v>1. Sanciones disciplinarias.
2. Quejas e insatisfacción de usuarios
3. Demandas contractuales a la Entidad
4. Decisiones sin fundamento técnico jurídico y nulas actuaciones de control y sanción.</v>
      </c>
      <c r="G13" s="75">
        <f>+'[14]Cruce Variables'!L13</f>
        <v>3</v>
      </c>
      <c r="H13" s="75">
        <f>+'[14]Cruce Variables'!M13</f>
        <v>5</v>
      </c>
      <c r="I13" s="75">
        <f t="shared" si="0"/>
        <v>15</v>
      </c>
      <c r="J13" s="88" t="str">
        <f>IF(AND(I13&gt;=0,I13&lt;=4),'[14]Calificación de Riesgos'!$H$10,IF(I13&lt;7,'[14]Calificación de Riesgos'!$H$9,IF(I13&lt;13,'[14]Calificación de Riesgos'!$H$8,IF(I13&lt;=25,'[14]Calificación de Riesgos'!$H$7))))</f>
        <v>EXTREMA</v>
      </c>
      <c r="K13" s="76" t="s">
        <v>340</v>
      </c>
      <c r="L13" s="75">
        <v>2</v>
      </c>
      <c r="M13" s="75">
        <v>5</v>
      </c>
      <c r="N13" s="75">
        <f t="shared" si="1"/>
        <v>10</v>
      </c>
      <c r="O13" s="88" t="str">
        <f>IF(AND(N13&gt;=0,N13&lt;=4),'[14]Calificación de Riesgos'!$H$10,IF(N13&lt;7,'[14]Calificación de Riesgos'!$H$9,IF(N13&lt;10,'[14]Calificación de Riesgos'!$H$8,IF(N13&lt;=25,'[14]Calificación de Riesgos'!$H$7))))</f>
        <v>EXTREMA</v>
      </c>
      <c r="P13" s="18" t="s">
        <v>7</v>
      </c>
      <c r="Q13" s="76" t="s">
        <v>337</v>
      </c>
      <c r="R13" s="76" t="s">
        <v>338</v>
      </c>
      <c r="S13" s="98">
        <v>43556</v>
      </c>
      <c r="T13" s="98">
        <v>43829</v>
      </c>
      <c r="U13" s="76" t="s">
        <v>339</v>
      </c>
      <c r="V13" s="18" t="s">
        <v>676</v>
      </c>
      <c r="W13" s="18" t="s">
        <v>678</v>
      </c>
      <c r="X13" s="134" t="s">
        <v>446</v>
      </c>
      <c r="Y13" s="134" t="s">
        <v>447</v>
      </c>
      <c r="Z13" s="134" t="s">
        <v>448</v>
      </c>
      <c r="AA13" s="134" t="s">
        <v>448</v>
      </c>
      <c r="AB13" s="18"/>
      <c r="AC13" s="18"/>
      <c r="AD13" s="18"/>
      <c r="AE13" s="18"/>
      <c r="AF13" s="18"/>
      <c r="AG13" s="18"/>
      <c r="AH13" s="18"/>
      <c r="AI13" s="18"/>
    </row>
    <row r="14" spans="1:35" s="17" customFormat="1" ht="134.25" customHeight="1" x14ac:dyDescent="0.25">
      <c r="A14" s="75">
        <v>6</v>
      </c>
      <c r="B14" s="76" t="str">
        <f>+[14]Identificacion!B9</f>
        <v>GESTION INTEGRAL PARA EL SEGUIMIENTO Y CONTROL A LOS TITULOS MINEROS</v>
      </c>
      <c r="C14" s="76" t="str">
        <f>+[14]Identificacion!C9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76" t="str">
        <f>+[14]Identificacion!D9</f>
        <v xml:space="preserve">  
1. Debilidades en la planeación para realizar la actividad antes de que venzan los términos legales</v>
      </c>
      <c r="E14" s="76" t="str">
        <f>+[14]Identificacion!E9</f>
        <v xml:space="preserve">Inoportunidad en la liquidación de títulos mineros, y omisión de aspectos definidos contractualmente  </v>
      </c>
      <c r="F14" s="76" t="str">
        <f>+[14]Identificacion!F9</f>
        <v>1. Pérdida de facultad para liquidación del contrato. 
2.Sanciones disciplinarias, demandas a lo contencioso para solicitar autorización de liquidación unilateral lo que trae como consecuencia desgaste administrativo</v>
      </c>
      <c r="G14" s="75">
        <f>+'[14]Cruce Variables'!L14</f>
        <v>5</v>
      </c>
      <c r="H14" s="75">
        <f>+'[14]Cruce Variables'!M14</f>
        <v>4</v>
      </c>
      <c r="I14" s="75">
        <f t="shared" si="0"/>
        <v>20</v>
      </c>
      <c r="J14" s="88" t="str">
        <f>IF(AND(I14&gt;=0,I14&lt;=4),'[14]Calificación de Riesgos'!$H$10,IF(I14&lt;7,'[14]Calificación de Riesgos'!$H$9,IF(I14&lt;13,'[14]Calificación de Riesgos'!$H$8,IF(I14&lt;=25,'[14]Calificación de Riesgos'!$H$7))))</f>
        <v>EXTREMA</v>
      </c>
      <c r="K14" s="76" t="s">
        <v>341</v>
      </c>
      <c r="L14" s="75">
        <v>3</v>
      </c>
      <c r="M14" s="75">
        <v>4</v>
      </c>
      <c r="N14" s="75">
        <f t="shared" si="1"/>
        <v>12</v>
      </c>
      <c r="O14" s="88" t="str">
        <f>IF(AND(N14&gt;=0,N14&lt;=4),'[14]Calificación de Riesgos'!$H$10,IF(N14&lt;7,'[14]Calificación de Riesgos'!$H$9,IF(N14&lt;12,'[14]Calificación de Riesgos'!$H$8,IF(N14&lt;=25,'[14]Calificación de Riesgos'!$H$7))))</f>
        <v>EXTREMA</v>
      </c>
      <c r="P14" s="18" t="s">
        <v>7</v>
      </c>
      <c r="Q14" s="76" t="s">
        <v>342</v>
      </c>
      <c r="R14" s="76" t="s">
        <v>343</v>
      </c>
      <c r="S14" s="98">
        <v>43556</v>
      </c>
      <c r="T14" s="98">
        <v>43829</v>
      </c>
      <c r="U14" s="76" t="s">
        <v>344</v>
      </c>
      <c r="V14" s="18" t="s">
        <v>679</v>
      </c>
      <c r="W14" s="18" t="s">
        <v>680</v>
      </c>
      <c r="X14" s="134" t="s">
        <v>446</v>
      </c>
      <c r="Y14" s="134" t="s">
        <v>447</v>
      </c>
      <c r="Z14" s="134" t="s">
        <v>448</v>
      </c>
      <c r="AA14" s="134" t="s">
        <v>448</v>
      </c>
      <c r="AB14" s="18"/>
      <c r="AC14" s="18"/>
      <c r="AD14" s="18"/>
      <c r="AE14" s="18"/>
      <c r="AF14" s="18"/>
      <c r="AG14" s="18"/>
      <c r="AH14" s="18"/>
      <c r="AI14" s="18"/>
    </row>
    <row r="15" spans="1:35" s="17" customFormat="1" ht="134.25" customHeight="1" x14ac:dyDescent="0.25">
      <c r="A15" s="75">
        <v>7</v>
      </c>
      <c r="B15" s="76" t="str">
        <f>+[14]Identificacion!B10</f>
        <v>GESTION INTEGRAL PARA EL SEGUIMIENTO Y CONTROL A LOS TITULOS MINEROS</v>
      </c>
      <c r="C15" s="76" t="str">
        <f>+[14]Identificacion!C10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76" t="str">
        <f>+[14]Identificacion!D10</f>
        <v>1. Debilidades en la revisión de las herramientas de expediente digital y SGD.
2. Debilidades en los controles de correspondencia, que ocasionan el direccionamiento de documentos a expedientes que no corresponden, por error del operador.</v>
      </c>
      <c r="E15" s="76" t="str">
        <f>+[14]Identificacion!E10</f>
        <v>Falta de disponibilidad de los documentos que conforman los expedientes de títulos mineros</v>
      </c>
      <c r="F15" s="76" t="str">
        <f>+[14]Identificacion!F10</f>
        <v>1. Evaluaciones incompletas al no tener toda la información allegada por titulares
2. Pérdida de información
3. Incumplimiento de los términos para adelantar los trámites y demoras en respuestas</v>
      </c>
      <c r="G15" s="75">
        <f>+'[14]Cruce Variables'!L15</f>
        <v>5</v>
      </c>
      <c r="H15" s="75">
        <f>+'[14]Cruce Variables'!M15</f>
        <v>4</v>
      </c>
      <c r="I15" s="75">
        <f t="shared" si="0"/>
        <v>20</v>
      </c>
      <c r="J15" s="88" t="str">
        <f>IF(AND(I15&gt;=0,I15&lt;=4),'[14]Calificación de Riesgos'!$H$10,IF(I15&lt;7,'[14]Calificación de Riesgos'!$H$9,IF(I15&lt;13,'[14]Calificación de Riesgos'!$H$8,IF(I15&lt;=25,'[14]Calificación de Riesgos'!$H$7))))</f>
        <v>EXTREMA</v>
      </c>
      <c r="K15" s="21" t="s">
        <v>345</v>
      </c>
      <c r="L15" s="75">
        <v>3</v>
      </c>
      <c r="M15" s="75">
        <v>4</v>
      </c>
      <c r="N15" s="75">
        <f t="shared" si="1"/>
        <v>12</v>
      </c>
      <c r="O15" s="88" t="str">
        <f>IF(AND(N15&gt;=0,N15&lt;=4),'[14]Calificación de Riesgos'!$H$10,IF(N15&lt;7,'[14]Calificación de Riesgos'!$H$9,IF(N15&lt;12,'[14]Calificación de Riesgos'!$H$8,IF(N15&lt;=25,'[14]Calificación de Riesgos'!$H$7))))</f>
        <v>EXTREMA</v>
      </c>
      <c r="P15" s="18" t="s">
        <v>7</v>
      </c>
      <c r="Q15" s="76" t="s">
        <v>346</v>
      </c>
      <c r="R15" s="76" t="s">
        <v>347</v>
      </c>
      <c r="S15" s="98">
        <v>43556</v>
      </c>
      <c r="T15" s="98">
        <v>43829</v>
      </c>
      <c r="U15" s="76" t="s">
        <v>344</v>
      </c>
      <c r="V15" s="133" t="s">
        <v>681</v>
      </c>
      <c r="W15" s="91" t="s">
        <v>682</v>
      </c>
      <c r="X15" s="134" t="s">
        <v>446</v>
      </c>
      <c r="Y15" s="134" t="s">
        <v>447</v>
      </c>
      <c r="Z15" s="134" t="s">
        <v>448</v>
      </c>
      <c r="AA15" s="134" t="s">
        <v>448</v>
      </c>
      <c r="AB15" s="18"/>
      <c r="AC15" s="18"/>
      <c r="AD15" s="18"/>
      <c r="AE15" s="18"/>
      <c r="AF15" s="18"/>
      <c r="AG15" s="18"/>
      <c r="AH15" s="18"/>
      <c r="AI15" s="18"/>
    </row>
    <row r="16" spans="1:35" s="17" customFormat="1" ht="134.25" customHeight="1" x14ac:dyDescent="0.25">
      <c r="A16" s="75">
        <v>8</v>
      </c>
      <c r="B16" s="76" t="str">
        <f>+[14]Identificacion!B11</f>
        <v>GESTION INTEGRAL PARA EL SEGUIMIENTO Y CONTROL A LOS TITULOS MINEROS</v>
      </c>
      <c r="C16" s="76" t="str">
        <f>+[14]Identificacion!C11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76" t="str">
        <f>+[14]Identificacion!D11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76" t="str">
        <f>+[14]Identificacion!E11</f>
        <v>Incumplimiento contractual de carácter técnico, por la falta de inspecciones de campo de los títulos mineros objeto de fiscalización</v>
      </c>
      <c r="F16" s="76" t="str">
        <f>+[14]Identificacion!F11</f>
        <v>1. No detección de problemas de seguridad minera que generen accidentes graves.
2. Investigaciones de organismos de control con posibles incidencias disciplinarias y administrativas</v>
      </c>
      <c r="G16" s="75">
        <f>+'[14]Cruce Variables'!L16</f>
        <v>4</v>
      </c>
      <c r="H16" s="75">
        <f>+'[14]Cruce Variables'!M16</f>
        <v>4</v>
      </c>
      <c r="I16" s="75">
        <f t="shared" si="0"/>
        <v>16</v>
      </c>
      <c r="J16" s="88" t="str">
        <f>IF(AND(I16&gt;=0,I16&lt;=4),'[14]Calificación de Riesgos'!$H$10,IF(I16&lt;7,'[14]Calificación de Riesgos'!$H$9,IF(I16&lt;13,'[14]Calificación de Riesgos'!$H$8,IF(I16&lt;=25,'[14]Calificación de Riesgos'!$H$7))))</f>
        <v>EXTREMA</v>
      </c>
      <c r="K16" s="76" t="s">
        <v>348</v>
      </c>
      <c r="L16" s="75">
        <v>2</v>
      </c>
      <c r="M16" s="75">
        <v>4</v>
      </c>
      <c r="N16" s="75">
        <f t="shared" si="1"/>
        <v>8</v>
      </c>
      <c r="O16" s="135" t="str">
        <f>IF(AND(N16&gt;=0,N16&lt;=4),'[14]Calificación de Riesgos'!$H$10,IF(N16&lt;7,'[14]Calificación de Riesgos'!$H$9,IF(N16&lt;13,'[14]Calificación de Riesgos'!$H$8,IF(N16&lt;=25,'[14]Calificación de Riesgos'!$H$7))))</f>
        <v>ALTA</v>
      </c>
      <c r="P16" s="18" t="s">
        <v>7</v>
      </c>
      <c r="Q16" s="76" t="s">
        <v>337</v>
      </c>
      <c r="R16" s="76" t="s">
        <v>338</v>
      </c>
      <c r="S16" s="98">
        <v>43556</v>
      </c>
      <c r="T16" s="98">
        <v>43829</v>
      </c>
      <c r="U16" s="76" t="s">
        <v>349</v>
      </c>
      <c r="V16" s="18" t="s">
        <v>683</v>
      </c>
      <c r="W16" s="18" t="s">
        <v>684</v>
      </c>
      <c r="X16" s="134" t="s">
        <v>446</v>
      </c>
      <c r="Y16" s="134" t="s">
        <v>447</v>
      </c>
      <c r="Z16" s="134" t="s">
        <v>448</v>
      </c>
      <c r="AA16" s="134" t="s">
        <v>448</v>
      </c>
      <c r="AB16" s="18"/>
      <c r="AC16" s="18"/>
      <c r="AD16" s="18"/>
      <c r="AE16" s="18"/>
      <c r="AF16" s="18"/>
      <c r="AG16" s="18"/>
      <c r="AH16" s="18"/>
      <c r="AI16" s="18"/>
    </row>
    <row r="17" spans="1:35" s="17" customFormat="1" ht="134.25" customHeight="1" x14ac:dyDescent="0.25">
      <c r="A17" s="75">
        <v>9</v>
      </c>
      <c r="B17" s="76" t="str">
        <f>+[14]Identificacion!B12</f>
        <v>GESTION INTEGRAL PARA EL SEGUIMIENTO Y CONTROL A LOS TITULOS MINEROS</v>
      </c>
      <c r="C17" s="76" t="str">
        <f>+[14]Identificacion!C12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76" t="str">
        <f>+[14]Identificacion!D12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76" t="str">
        <f>+[14]Identificacion!E12</f>
        <v xml:space="preserve">Inoportunidad en la generación de acciones de control posterior a la evaluación documental o visita de inspección </v>
      </c>
      <c r="F17" s="76" t="str">
        <f>+[14]Identificacion!F12</f>
        <v>1. Incumplimientos contractuales de carácter técnico, económico, jurídico.  
2. Dificultades para recuperación de carteras o imposibilidad por caducidad de facultades para cobro.  
3. Pérdida de credibilidad en la Entidad</v>
      </c>
      <c r="G17" s="75">
        <f>+'[14]Cruce Variables'!L17</f>
        <v>5</v>
      </c>
      <c r="H17" s="75">
        <f>+'[14]Cruce Variables'!M17</f>
        <v>4</v>
      </c>
      <c r="I17" s="75">
        <f t="shared" si="0"/>
        <v>20</v>
      </c>
      <c r="J17" s="88" t="str">
        <f>IF(AND(I17&gt;=0,I17&lt;=4),'[14]Calificación de Riesgos'!$H$10,IF(I17&lt;7,'[14]Calificación de Riesgos'!$H$9,IF(I17&lt;13,'[14]Calificación de Riesgos'!$H$8,IF(I17&lt;=25,'[14]Calificación de Riesgos'!$H$7))))</f>
        <v>EXTREMA</v>
      </c>
      <c r="K17" s="76" t="s">
        <v>350</v>
      </c>
      <c r="L17" s="75">
        <v>3</v>
      </c>
      <c r="M17" s="75">
        <v>4</v>
      </c>
      <c r="N17" s="75">
        <f t="shared" si="1"/>
        <v>12</v>
      </c>
      <c r="O17" s="88" t="str">
        <f>IF(AND(N17&gt;=0,N17&lt;=4),'[14]Calificación de Riesgos'!$H$10,IF(N17&lt;7,'[14]Calificación de Riesgos'!$H$9,IF(N17&lt;12,'[14]Calificación de Riesgos'!$H$8,IF(N17&lt;=25,'[14]Calificación de Riesgos'!$H$7))))</f>
        <v>EXTREMA</v>
      </c>
      <c r="P17" s="18" t="s">
        <v>7</v>
      </c>
      <c r="Q17" s="76" t="s">
        <v>337</v>
      </c>
      <c r="R17" s="76" t="s">
        <v>338</v>
      </c>
      <c r="S17" s="98">
        <v>43556</v>
      </c>
      <c r="T17" s="98">
        <v>43829</v>
      </c>
      <c r="U17" s="76" t="s">
        <v>351</v>
      </c>
      <c r="V17" s="18" t="s">
        <v>685</v>
      </c>
      <c r="W17" s="18" t="s">
        <v>686</v>
      </c>
      <c r="X17" s="134" t="s">
        <v>446</v>
      </c>
      <c r="Y17" s="134" t="s">
        <v>447</v>
      </c>
      <c r="Z17" s="134" t="s">
        <v>448</v>
      </c>
      <c r="AA17" s="134" t="s">
        <v>448</v>
      </c>
      <c r="AB17" s="18"/>
      <c r="AC17" s="18"/>
      <c r="AD17" s="18"/>
      <c r="AE17" s="18"/>
      <c r="AF17" s="18"/>
      <c r="AG17" s="18"/>
      <c r="AH17" s="18"/>
      <c r="AI17" s="18"/>
    </row>
    <row r="18" spans="1:35" s="17" customFormat="1" ht="134.25" customHeight="1" x14ac:dyDescent="0.25">
      <c r="A18" s="75">
        <v>10</v>
      </c>
      <c r="B18" s="76" t="str">
        <f>+[14]Identificacion!B13</f>
        <v>GESTION INTEGRAL PARA EL SEGUIMIENTO Y CONTROL A LOS TITULOS MINEROS</v>
      </c>
      <c r="C18" s="76" t="str">
        <f>+[14]Identificacion!C13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76" t="str">
        <f>+[14]Identificacion!D13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76" t="str">
        <f>+[14]Identificacion!E13</f>
        <v xml:space="preserve">Exigir requisitos respecto a trámites que no están inscritos ante el Sistema Único de Información de Trámites. </v>
      </c>
      <c r="F18" s="76" t="str">
        <f>+[14]Identificacion!F13</f>
        <v>1. Acciones disciplinarias
2. Incremento de las PQRs que desbordan capacidad operativa de la Entidad.
3. Reprocesos y desgaste administrativo</v>
      </c>
      <c r="G18" s="75">
        <f>+'[14]Cruce Variables'!L18</f>
        <v>4</v>
      </c>
      <c r="H18" s="75">
        <f>+'[14]Cruce Variables'!M18</f>
        <v>3</v>
      </c>
      <c r="I18" s="75">
        <f t="shared" si="0"/>
        <v>12</v>
      </c>
      <c r="J18" s="135" t="str">
        <f>IF(AND(I18&gt;=0,I18&lt;=4),'[14]Calificación de Riesgos'!$H$10,IF(I18&lt;7,'[14]Calificación de Riesgos'!$H$9,IF(I18&lt;13,'[14]Calificación de Riesgos'!$H$8,IF(I18&lt;=25,'[14]Calificación de Riesgos'!$H$7))))</f>
        <v>ALTA</v>
      </c>
      <c r="K18" s="76" t="s">
        <v>352</v>
      </c>
      <c r="L18" s="75">
        <v>2</v>
      </c>
      <c r="M18" s="75">
        <v>3</v>
      </c>
      <c r="N18" s="75">
        <f t="shared" si="1"/>
        <v>6</v>
      </c>
      <c r="O18" s="136" t="str">
        <f>IF(AND(N18&gt;=0,N18&lt;=4),'[14]Calificación de Riesgos'!$H$10,IF(N18&lt;7,'[14]Calificación de Riesgos'!$H$9,IF(N18&lt;13,'[14]Calificación de Riesgos'!$H$8,IF(N18&lt;=25,'[14]Calificación de Riesgos'!$H$7))))</f>
        <v>MODERADA</v>
      </c>
      <c r="P18" s="18" t="s">
        <v>7</v>
      </c>
      <c r="Q18" s="76" t="s">
        <v>353</v>
      </c>
      <c r="R18" s="76" t="s">
        <v>354</v>
      </c>
      <c r="S18" s="98">
        <v>43556</v>
      </c>
      <c r="T18" s="98">
        <v>43829</v>
      </c>
      <c r="U18" s="76" t="s">
        <v>351</v>
      </c>
      <c r="V18" s="91" t="s">
        <v>687</v>
      </c>
      <c r="W18" s="91" t="s">
        <v>688</v>
      </c>
      <c r="X18" s="134" t="s">
        <v>446</v>
      </c>
      <c r="Y18" s="134" t="s">
        <v>447</v>
      </c>
      <c r="Z18" s="134" t="s">
        <v>448</v>
      </c>
      <c r="AA18" s="134" t="s">
        <v>448</v>
      </c>
      <c r="AB18" s="18"/>
      <c r="AC18" s="18"/>
      <c r="AD18" s="18"/>
      <c r="AE18" s="18"/>
      <c r="AF18" s="18"/>
      <c r="AG18" s="18"/>
      <c r="AH18" s="18"/>
      <c r="AI18" s="18"/>
    </row>
    <row r="19" spans="1:35" s="17" customFormat="1" ht="177" customHeight="1" x14ac:dyDescent="0.25">
      <c r="A19" s="75">
        <v>11</v>
      </c>
      <c r="B19" s="76" t="str">
        <f>+[14]Identificacion!B14</f>
        <v>GESTION INTEGRAL PARA EL SEGUIMIENTO Y CONTROL A LOS TITULOS MINEROS</v>
      </c>
      <c r="C19" s="76" t="str">
        <f>+[14]Identificacion!C14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76" t="str">
        <f>+[14]Identificacion!D14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76" t="str">
        <f>+[14]Identificacion!E14</f>
        <v>Falta de oportunidad de respuesta en los trámites administrativos</v>
      </c>
      <c r="F19" s="76" t="str">
        <f>+[14]Identificacion!F14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5">
        <f>+'[14]Cruce Variables'!L19</f>
        <v>5</v>
      </c>
      <c r="H19" s="75">
        <f>+'[14]Cruce Variables'!M19</f>
        <v>3</v>
      </c>
      <c r="I19" s="75">
        <f t="shared" si="0"/>
        <v>15</v>
      </c>
      <c r="J19" s="88" t="str">
        <f>IF(AND(I19&gt;=0,I19&lt;=4),'[14]Calificación de Riesgos'!$H$10,IF(I19&lt;7,'[14]Calificación de Riesgos'!$H$9,IF(I19&lt;13,'[14]Calificación de Riesgos'!$H$8,IF(I19&lt;=25,'[14]Calificación de Riesgos'!$H$7))))</f>
        <v>EXTREMA</v>
      </c>
      <c r="K19" s="76" t="s">
        <v>355</v>
      </c>
      <c r="L19" s="75">
        <v>3</v>
      </c>
      <c r="M19" s="75">
        <v>3</v>
      </c>
      <c r="N19" s="75">
        <f t="shared" si="1"/>
        <v>9</v>
      </c>
      <c r="O19" s="135" t="str">
        <f>IF(AND(N19&gt;=0,N19&lt;=4),'[14]Calificación de Riesgos'!$H$10,IF(N19&lt;7,'[14]Calificación de Riesgos'!$H$9,IF(N19&lt;13,'[14]Calificación de Riesgos'!$H$8,IF(N19&lt;=25,'[14]Calificación de Riesgos'!$H$7))))</f>
        <v>ALTA</v>
      </c>
      <c r="P19" s="18" t="s">
        <v>7</v>
      </c>
      <c r="Q19" s="76" t="s">
        <v>356</v>
      </c>
      <c r="R19" s="76" t="s">
        <v>357</v>
      </c>
      <c r="S19" s="98">
        <v>43556</v>
      </c>
      <c r="T19" s="98">
        <v>43829</v>
      </c>
      <c r="U19" s="76" t="s">
        <v>358</v>
      </c>
      <c r="V19" s="18" t="s">
        <v>689</v>
      </c>
      <c r="W19" s="18" t="s">
        <v>690</v>
      </c>
      <c r="X19" s="134" t="s">
        <v>446</v>
      </c>
      <c r="Y19" s="134" t="s">
        <v>447</v>
      </c>
      <c r="Z19" s="134" t="s">
        <v>448</v>
      </c>
      <c r="AA19" s="134" t="s">
        <v>448</v>
      </c>
      <c r="AB19" s="18"/>
      <c r="AC19" s="18"/>
      <c r="AD19" s="18"/>
      <c r="AE19" s="18"/>
      <c r="AF19" s="18"/>
      <c r="AG19" s="18"/>
      <c r="AH19" s="18"/>
      <c r="AI19" s="18"/>
    </row>
    <row r="20" spans="1:35" s="17" customFormat="1" ht="116.25" customHeight="1" x14ac:dyDescent="0.25">
      <c r="A20" s="216">
        <v>12</v>
      </c>
      <c r="B20" s="190" t="str">
        <f>+[14]Identificacion!B15</f>
        <v>GESTION INTEGRAL PARA EL SEGUIMIENTO Y CONTROL A LOS TITULOS MINEROS - NOTIFICACIONES</v>
      </c>
      <c r="C20" s="190" t="str">
        <f>+[14]Identificacion!C15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90" t="str">
        <f>+[14]Identificacion!D15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90" t="str">
        <f>+[14]Identificacion!E15</f>
        <v>Falta de oportunidad de respuesta en los trámites administrativos</v>
      </c>
      <c r="F20" s="190" t="str">
        <f>+[14]Identificacion!F15</f>
        <v>1. Ausencia de cumplimiento de los términos legales.
2. Afecta las obligaciones económicas del título minero.
3. Afecta la ejecución del título minero.
4. Sanciones disciplinarias para los funcionarios del proceso.</v>
      </c>
      <c r="G20" s="216">
        <f>+'[14]Cruce Variables'!L20</f>
        <v>5</v>
      </c>
      <c r="H20" s="216">
        <f>+'[14]Cruce Variables'!M20</f>
        <v>4</v>
      </c>
      <c r="I20" s="75">
        <f t="shared" si="0"/>
        <v>20</v>
      </c>
      <c r="J20" s="225" t="str">
        <f>IF(AND(I20&gt;=0,I20&lt;=4),'[14]Calificación de Riesgos'!$H$10,IF(I20&lt;7,'[14]Calificación de Riesgos'!$H$9,IF(I20&lt;13,'[14]Calificación de Riesgos'!$H$8,IF(I20&lt;=25,'[14]Calificación de Riesgos'!$H$7))))</f>
        <v>EXTREMA</v>
      </c>
      <c r="K20" s="190" t="s">
        <v>359</v>
      </c>
      <c r="L20" s="191">
        <v>1</v>
      </c>
      <c r="M20" s="191">
        <v>4</v>
      </c>
      <c r="N20" s="75">
        <f t="shared" si="1"/>
        <v>4</v>
      </c>
      <c r="O20" s="135" t="str">
        <f>+'[14]Calificación de Riesgos'!H8</f>
        <v>ALTA</v>
      </c>
      <c r="P20" s="224" t="s">
        <v>7</v>
      </c>
      <c r="Q20" s="99" t="s">
        <v>360</v>
      </c>
      <c r="R20" s="100" t="s">
        <v>361</v>
      </c>
      <c r="S20" s="98">
        <v>43466</v>
      </c>
      <c r="T20" s="98">
        <v>43555</v>
      </c>
      <c r="U20" s="101" t="s">
        <v>362</v>
      </c>
      <c r="V20" s="117" t="s">
        <v>668</v>
      </c>
      <c r="W20" s="117" t="s">
        <v>665</v>
      </c>
      <c r="X20" s="118" t="s">
        <v>446</v>
      </c>
      <c r="Y20" s="118" t="s">
        <v>447</v>
      </c>
      <c r="Z20" s="118" t="s">
        <v>448</v>
      </c>
      <c r="AA20" s="118" t="s">
        <v>448</v>
      </c>
      <c r="AB20" s="18"/>
      <c r="AC20" s="18"/>
      <c r="AD20" s="18"/>
      <c r="AE20" s="18"/>
      <c r="AF20" s="18"/>
      <c r="AG20" s="18"/>
      <c r="AH20" s="18"/>
      <c r="AI20" s="18"/>
    </row>
    <row r="21" spans="1:35" ht="93.75" customHeight="1" x14ac:dyDescent="0.3">
      <c r="A21" s="222"/>
      <c r="B21" s="223"/>
      <c r="C21" s="223"/>
      <c r="D21" s="223"/>
      <c r="E21" s="223"/>
      <c r="F21" s="223"/>
      <c r="G21" s="222"/>
      <c r="H21" s="222"/>
      <c r="I21" s="77"/>
      <c r="J21" s="225"/>
      <c r="K21" s="190"/>
      <c r="L21" s="191"/>
      <c r="M21" s="191"/>
      <c r="N21" s="77"/>
      <c r="O21" s="135"/>
      <c r="P21" s="224"/>
      <c r="Q21" s="99" t="s">
        <v>429</v>
      </c>
      <c r="R21" s="100" t="s">
        <v>363</v>
      </c>
      <c r="S21" s="98">
        <v>43497</v>
      </c>
      <c r="T21" s="98">
        <v>43585</v>
      </c>
      <c r="U21" s="101" t="s">
        <v>362</v>
      </c>
      <c r="V21" s="117" t="s">
        <v>669</v>
      </c>
      <c r="W21" s="117" t="s">
        <v>670</v>
      </c>
      <c r="X21" s="118" t="s">
        <v>446</v>
      </c>
      <c r="Y21" s="118" t="s">
        <v>447</v>
      </c>
      <c r="Z21" s="118" t="s">
        <v>448</v>
      </c>
      <c r="AA21" s="118" t="s">
        <v>448</v>
      </c>
      <c r="AB21" s="77"/>
      <c r="AC21" s="77"/>
      <c r="AD21" s="77"/>
      <c r="AE21" s="77"/>
      <c r="AF21" s="77"/>
      <c r="AG21" s="77"/>
      <c r="AH21" s="77"/>
      <c r="AI21" s="77"/>
    </row>
    <row r="22" spans="1:35" ht="132" x14ac:dyDescent="0.3">
      <c r="A22" s="75">
        <v>13</v>
      </c>
      <c r="B22" s="76" t="str">
        <f>+[14]Identificacion!B16</f>
        <v>GESTION INTEGRAL PARA EL SEGUIMIENTO Y CONTROL A LOS TITULOS MINEROS - NOTIFICACIONES</v>
      </c>
      <c r="C22" s="76" t="str">
        <f>+[14]Identificacion!C16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76" t="str">
        <f>+[14]Identificacion!D16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76" t="str">
        <f>+[14]Identificacion!E16</f>
        <v>No realizar la distribución correcta de los recursos</v>
      </c>
      <c r="F22" s="76" t="str">
        <f>+[14]Identificacion!F16</f>
        <v>1. Investigaciones disciplinarias.
2. Investigaciones fiscales
3. Perdida de imagen institucional</v>
      </c>
      <c r="G22" s="75">
        <f>+'[14]Cruce Variables'!L21</f>
        <v>3</v>
      </c>
      <c r="H22" s="75">
        <f>+'[14]Cruce Variables'!M21</f>
        <v>4</v>
      </c>
      <c r="I22" s="75">
        <f t="shared" ref="I22:I25" si="2">+G22*H22</f>
        <v>12</v>
      </c>
      <c r="J22" s="88" t="str">
        <f>IF(AND(I22&gt;=0,I22&lt;=4),'[14]Calificación de Riesgos'!$H$10,IF(I22&lt;7,'[14]Calificación de Riesgos'!$H$9,IF(I22&lt;12,'[14]Calificación de Riesgos'!$H$8,IF(I22&lt;=25,'[14]Calificación de Riesgos'!$H$7))))</f>
        <v>EXTREMA</v>
      </c>
      <c r="K22" s="66" t="s">
        <v>430</v>
      </c>
      <c r="L22" s="75">
        <v>2</v>
      </c>
      <c r="M22" s="75">
        <v>4</v>
      </c>
      <c r="N22" s="75">
        <f t="shared" ref="N22:N25" si="3">+L22*M22</f>
        <v>8</v>
      </c>
      <c r="O22" s="135" t="str">
        <f>IF(AND(N22&gt;=0,N22&lt;=4),'[14]Calificación de Riesgos'!$H$10,IF(N22&lt;7,'[14]Calificación de Riesgos'!$H$9,IF(N22&lt;13,'[14]Calificación de Riesgos'!$H$8,IF(N22&lt;=25,'[14]Calificación de Riesgos'!$H$7))))</f>
        <v>ALTA</v>
      </c>
      <c r="P22" s="18" t="s">
        <v>7</v>
      </c>
      <c r="Q22" s="76" t="s">
        <v>431</v>
      </c>
      <c r="R22" s="24" t="s">
        <v>427</v>
      </c>
      <c r="S22" s="98">
        <v>43511</v>
      </c>
      <c r="T22" s="98">
        <v>43829</v>
      </c>
      <c r="U22" s="76" t="s">
        <v>428</v>
      </c>
      <c r="V22" s="117" t="s">
        <v>671</v>
      </c>
      <c r="W22" s="117" t="s">
        <v>672</v>
      </c>
      <c r="X22" s="90" t="s">
        <v>666</v>
      </c>
      <c r="Y22" s="118" t="s">
        <v>447</v>
      </c>
      <c r="Z22" s="118" t="s">
        <v>448</v>
      </c>
      <c r="AA22" s="118" t="s">
        <v>448</v>
      </c>
      <c r="AB22" s="18"/>
      <c r="AC22" s="18"/>
      <c r="AD22" s="18"/>
      <c r="AE22" s="18"/>
      <c r="AF22" s="18"/>
      <c r="AG22" s="18"/>
      <c r="AH22" s="18"/>
      <c r="AI22" s="18"/>
    </row>
    <row r="23" spans="1:35" ht="132" x14ac:dyDescent="0.3">
      <c r="A23" s="75">
        <v>14</v>
      </c>
      <c r="B23" s="76" t="str">
        <f>+[14]Identificacion!B17</f>
        <v>GESTION INTEGRAL PARA EL SEGUIMIENTO Y CONTROL A LOS TITULOS MINEROS - NOTIFICACIONES</v>
      </c>
      <c r="C23" s="76" t="str">
        <f>+[14]Identificacion!C17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76" t="str">
        <f>+[14]Identificacion!D17</f>
        <v>1. No se encuentra una metodologia para el calculo de ingresos propios del proceso de gestión integral.
2. Debilidades en la implementación de controles</v>
      </c>
      <c r="E23" s="76" t="str">
        <f>+[14]Identificacion!E17</f>
        <v>Generar expectativa de ingresos  der Regalias y Compensaciones no acordes con la realidad.</v>
      </c>
      <c r="F23" s="76" t="str">
        <f>+[14]Identificacion!F17</f>
        <v>1. Se puede generar deficit fiscal en la entidad.
2. Incumplimiento de metas y objetivos.
3. Generar falsa expectativas
4. Perdida de imagen institucional</v>
      </c>
      <c r="G23" s="75">
        <f>+'[14]Cruce Variables'!L22</f>
        <v>2</v>
      </c>
      <c r="H23" s="75">
        <f>+'[14]Cruce Variables'!M22</f>
        <v>4</v>
      </c>
      <c r="I23" s="75">
        <f t="shared" si="2"/>
        <v>8</v>
      </c>
      <c r="J23" s="135" t="str">
        <f>IF(AND(I23&gt;=0,I23&lt;=4),'[14]Calificación de Riesgos'!$H$10,IF(I23&lt;7,'[14]Calificación de Riesgos'!$H$9,IF(I23&lt;13,'[14]Calificación de Riesgos'!$H$8,IF(I23&lt;=25,'[14]Calificación de Riesgos'!$H$7))))</f>
        <v>ALTA</v>
      </c>
      <c r="K23" s="24" t="s">
        <v>432</v>
      </c>
      <c r="L23" s="75">
        <v>2</v>
      </c>
      <c r="M23" s="75">
        <v>4</v>
      </c>
      <c r="N23" s="75">
        <f t="shared" si="3"/>
        <v>8</v>
      </c>
      <c r="O23" s="135" t="str">
        <f>IF(AND(N23&gt;=0,N23&lt;=4),'[14]Calificación de Riesgos'!$H$10,IF(N23&lt;7,'[14]Calificación de Riesgos'!$H$9,IF(N23&lt;13,'[14]Calificación de Riesgos'!$H$8,IF(N23&lt;=25,'[14]Calificación de Riesgos'!$H$7))))</f>
        <v>ALTA</v>
      </c>
      <c r="P23" s="18" t="s">
        <v>7</v>
      </c>
      <c r="Q23" s="76" t="s">
        <v>433</v>
      </c>
      <c r="R23" s="76" t="s">
        <v>434</v>
      </c>
      <c r="S23" s="98">
        <v>43511</v>
      </c>
      <c r="T23" s="98">
        <v>43829</v>
      </c>
      <c r="U23" s="76" t="s">
        <v>428</v>
      </c>
      <c r="V23" s="18" t="s">
        <v>667</v>
      </c>
      <c r="W23" s="18" t="s">
        <v>667</v>
      </c>
      <c r="X23" s="119" t="s">
        <v>446</v>
      </c>
      <c r="Y23" s="119" t="s">
        <v>447</v>
      </c>
      <c r="Z23" s="119" t="s">
        <v>448</v>
      </c>
      <c r="AA23" s="119" t="s">
        <v>448</v>
      </c>
      <c r="AB23" s="18"/>
      <c r="AC23" s="18"/>
      <c r="AD23" s="18"/>
      <c r="AE23" s="18"/>
      <c r="AF23" s="18"/>
      <c r="AG23" s="18"/>
      <c r="AH23" s="18"/>
      <c r="AI23" s="18"/>
    </row>
    <row r="24" spans="1:35" ht="132" x14ac:dyDescent="0.3">
      <c r="A24" s="75">
        <v>15</v>
      </c>
      <c r="B24" s="76" t="str">
        <f>+[14]Identificacion!B18</f>
        <v>GESTION INTEGRAL PARA EL SEGUIMIENTO Y CONTROL A LOS TITULOS MINEROS - NOTIFICACIONES</v>
      </c>
      <c r="C24" s="76" t="str">
        <f>+[14]Identificacion!C18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76" t="str">
        <f>+[14]Identificacion!D18</f>
        <v>1. El desconocimiento de la normatividad vigente y la aplicación optima de la normatividad.
2. Debilidades en los controles</v>
      </c>
      <c r="E24" s="76" t="str">
        <f>+[14]Identificacion!E18</f>
        <v>Generación de VoBo a los  trámites de exportación de los diferentes minerales o registro de comercializadores (RUCOM) sin cumplimiento de requisitos</v>
      </c>
      <c r="F24" s="76" t="str">
        <f>+[14]Identificacion!F18</f>
        <v>1. Investigaciones disciplinarias.
2. Investigaciones fiscales
3. Perdida de imagen institucional</v>
      </c>
      <c r="G24" s="75">
        <f>+'[14]Cruce Variables'!L23</f>
        <v>3</v>
      </c>
      <c r="H24" s="75">
        <f>+'[14]Cruce Variables'!M23</f>
        <v>4</v>
      </c>
      <c r="I24" s="75">
        <f t="shared" si="2"/>
        <v>12</v>
      </c>
      <c r="J24" s="88" t="str">
        <f>IF(AND(I24&gt;=0,I24&lt;=4),'[14]Calificación de Riesgos'!$H$10,IF(I24&lt;7,'[14]Calificación de Riesgos'!$H$9,IF(I24&lt;12,'[14]Calificación de Riesgos'!$H$8,IF(I24&lt;=25,'[14]Calificación de Riesgos'!$H$7))))</f>
        <v>EXTREMA</v>
      </c>
      <c r="K24" s="24" t="s">
        <v>435</v>
      </c>
      <c r="L24" s="75">
        <v>2</v>
      </c>
      <c r="M24" s="75">
        <v>4</v>
      </c>
      <c r="N24" s="75">
        <f t="shared" si="3"/>
        <v>8</v>
      </c>
      <c r="O24" s="135" t="str">
        <f>IF(AND(N24&gt;=0,N24&lt;=4),'[14]Calificación de Riesgos'!$H$10,IF(N24&lt;7,'[14]Calificación de Riesgos'!$H$9,IF(N24&lt;13,'[14]Calificación de Riesgos'!$H$8,IF(N24&lt;=25,'[14]Calificación de Riesgos'!$H$7))))</f>
        <v>ALTA</v>
      </c>
      <c r="P24" s="18" t="s">
        <v>7</v>
      </c>
      <c r="Q24" s="76" t="s">
        <v>436</v>
      </c>
      <c r="R24" s="24" t="s">
        <v>427</v>
      </c>
      <c r="S24" s="98">
        <v>43511</v>
      </c>
      <c r="T24" s="98">
        <v>43829</v>
      </c>
      <c r="U24" s="76" t="s">
        <v>428</v>
      </c>
      <c r="V24" s="18" t="s">
        <v>667</v>
      </c>
      <c r="W24" s="18" t="s">
        <v>667</v>
      </c>
      <c r="X24" s="119" t="s">
        <v>446</v>
      </c>
      <c r="Y24" s="119" t="s">
        <v>447</v>
      </c>
      <c r="Z24" s="119" t="s">
        <v>448</v>
      </c>
      <c r="AA24" s="119" t="s">
        <v>448</v>
      </c>
      <c r="AB24" s="18"/>
      <c r="AC24" s="18"/>
      <c r="AD24" s="18"/>
      <c r="AE24" s="18"/>
      <c r="AF24" s="18"/>
      <c r="AG24" s="18"/>
      <c r="AH24" s="18"/>
      <c r="AI24" s="18"/>
    </row>
    <row r="25" spans="1:35" ht="132" x14ac:dyDescent="0.3">
      <c r="A25" s="75">
        <v>16</v>
      </c>
      <c r="B25" s="76" t="str">
        <f>+[14]Identificacion!B19</f>
        <v>GESTION INTEGRAL PARA EL SEGUIMIENTO Y CONTROL A LOS TITULOS MINEROS - NOTIFICACIONES</v>
      </c>
      <c r="C25" s="76" t="str">
        <f>+[14]Identificacion!C19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76" t="str">
        <f>+[14]Identificacion!D19</f>
        <v>1. Existencia deficiencias en el proceso de la información, debido a la carencia de herramientas tecnológicas optimas y la falta de parametrización para el procesamiento de la información por parte de todos los grupos de interés.</v>
      </c>
      <c r="E25" s="76" t="str">
        <f>+[14]Identificacion!E19</f>
        <v>No realizar la trasferencia de la totalidad de los recursos recaudados.</v>
      </c>
      <c r="F25" s="76" t="str">
        <f>+[14]Identificacion!F19</f>
        <v>1. Investigaciones disciplinarias.
2. Investigaciones fiscales
3. Perdida de imagen institucional</v>
      </c>
      <c r="G25" s="75">
        <f>+'[14]Cruce Variables'!L24</f>
        <v>3</v>
      </c>
      <c r="H25" s="75">
        <f>+'[14]Cruce Variables'!M24</f>
        <v>5</v>
      </c>
      <c r="I25" s="75">
        <f t="shared" si="2"/>
        <v>15</v>
      </c>
      <c r="J25" s="88" t="str">
        <f>IF(AND(I25&gt;=0,I25&lt;=4),'[14]Calificación de Riesgos'!$H$10,IF(I25&lt;7,'[14]Calificación de Riesgos'!$H$9,IF(I25&lt;13,'[14]Calificación de Riesgos'!$H$8,IF(I25&lt;=25,'[14]Calificación de Riesgos'!$H$7))))</f>
        <v>EXTREMA</v>
      </c>
      <c r="K25" s="24" t="s">
        <v>437</v>
      </c>
      <c r="L25" s="75">
        <v>2</v>
      </c>
      <c r="M25" s="75">
        <v>5</v>
      </c>
      <c r="N25" s="75">
        <f t="shared" si="3"/>
        <v>10</v>
      </c>
      <c r="O25" s="135" t="str">
        <f>IF(AND(N25&gt;=0,N25&lt;=4),'[14]Calificación de Riesgos'!$H$10,IF(N25&lt;7,'[14]Calificación de Riesgos'!$H$9,IF(N25&lt;13,'[14]Calificación de Riesgos'!$H$8,IF(N25&lt;=25,'[14]Calificación de Riesgos'!$H$7))))</f>
        <v>ALTA</v>
      </c>
      <c r="P25" s="18" t="s">
        <v>7</v>
      </c>
      <c r="Q25" s="76" t="s">
        <v>438</v>
      </c>
      <c r="R25" s="76" t="s">
        <v>439</v>
      </c>
      <c r="S25" s="98">
        <v>43556</v>
      </c>
      <c r="T25" s="98">
        <v>43829</v>
      </c>
      <c r="U25" s="76" t="s">
        <v>428</v>
      </c>
      <c r="V25" s="18" t="s">
        <v>667</v>
      </c>
      <c r="W25" s="18" t="s">
        <v>667</v>
      </c>
      <c r="X25" s="119" t="s">
        <v>446</v>
      </c>
      <c r="Y25" s="119" t="s">
        <v>447</v>
      </c>
      <c r="Z25" s="119" t="s">
        <v>448</v>
      </c>
      <c r="AA25" s="119" t="s">
        <v>448</v>
      </c>
      <c r="AB25" s="18"/>
      <c r="AC25" s="18"/>
      <c r="AD25" s="18"/>
      <c r="AE25" s="18"/>
      <c r="AF25" s="18"/>
      <c r="AG25" s="18"/>
      <c r="AH25" s="18"/>
      <c r="AI25" s="18"/>
    </row>
  </sheetData>
  <mergeCells count="23">
    <mergeCell ref="L20:L21"/>
    <mergeCell ref="M20:M21"/>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P20:P21"/>
    <mergeCell ref="G20:G21"/>
    <mergeCell ref="H20:H21"/>
    <mergeCell ref="J20:J21"/>
    <mergeCell ref="K20:K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6" operator="containsText" id="{17719B9C-E085-42F1-BC6E-92BBD69102A0}">
            <xm:f>NOT(ISERROR(SEARCH('\PLANEACIÓN 2019\RIESGOS 2019\VERSIONES FINALES RIESGOS GESTION 2019\[Mapa de Riesgos Gestion Seguimiento Consolidado 2019 Final.xlsx]Calificación de Riesgos'!#REF!,J10)))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47" operator="containsText" id="{C0FE5962-E28A-4608-A34C-9DBF93A661FA}">
            <xm:f>NOT(ISERROR(SEARCH('\PLANEACIÓN 2019\RIESGOS 2019\VERSIONES FINALES RIESGOS GESTION 2019\[Mapa de Riesgos Gestion Seguimiento Consolidado 2019 Final.xlsx]Calificación de Riesgos'!#REF!,J10)))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48" operator="containsText" id="{2A5139A2-06DD-47CB-9BFE-1058E17B2EF6}">
            <xm:f>NOT(ISERROR(SEARCH('\PLANEACIÓN 2019\RIESGOS 2019\VERSIONES FINALES RIESGOS GESTION 2019\[Mapa de Riesgos Gestion Seguimiento Consolidado 2019 Final.xlsx]Calificación de Riesgos'!#REF!,J10)))</xm:f>
            <xm:f>'\PLANEACIÓN 2019\RIESGOS 2019\VERSIONES FINALES RIESGOS GESTION 2019\[Mapa de Riesgos Gestion Seguimiento Consolidado 2019 Final.xlsx]Calificación de Riesgos'!#REF!</xm:f>
            <x14:dxf/>
          </x14:cfRule>
          <x14:cfRule type="containsText" priority="49" operator="containsText" id="{3D2A047F-22A7-4740-842F-793194CC1561}">
            <xm:f>NOT(ISERROR(SEARCH('\PLANEACIÓN 2019\RIESGOS 2019\VERSIONES FINALES RIESGOS GESTION 2019\[Mapa de Riesgos Gestion Seguimiento Consolidado 2019 Final.xlsx]Calificación de Riesgos'!#REF!,J10)))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50" operator="containsText" id="{F82760FE-97B9-45EC-B2EA-AEFBC9E2178E}">
            <xm:f>NOT(ISERROR(SEARCH('\PLANEACIÓN 2019\RIESGOS 2019\VERSIONES FINALES RIESGOS GESTION 2019\[Mapa de Riesgos Gestion Seguimiento Consolidado 2019 Final.xlsx]Calificación de Riesgos'!#REF!,J10)))</xm:f>
            <xm:f>'\PLANEACIÓN 2019\RIESGOS 2019\VERSIONES FINALES RIESGOS GESTION 2019\[Mapa de Riesgos Gestion Seguimiento Consolidado 2019 Final.xlsx]Calificación de Riesgos'!#REF!</xm:f>
            <x14:dxf>
              <fill>
                <patternFill>
                  <bgColor rgb="FF00B050"/>
                </patternFill>
              </fill>
            </x14:dxf>
          </x14:cfRule>
          <xm:sqref>O13:O15 J10:J17 J19 O17:O18</xm:sqref>
        </x14:conditionalFormatting>
        <x14:conditionalFormatting xmlns:xm="http://schemas.microsoft.com/office/excel/2006/main">
          <x14:cfRule type="containsText" priority="41" operator="containsText" id="{0ECA6898-95AD-426C-B045-81AB505029ED}">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42" operator="containsText" id="{44DCE805-69AE-4A75-9D57-DE057335EBF8}">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43" operator="containsText" id="{6C44BD8E-651B-461F-865F-66546B2E31A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x14:cfRule>
          <x14:cfRule type="containsText" priority="44" operator="containsText" id="{25B09C64-2CAB-413B-BE48-8D5D4FBA87C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45" operator="containsText" id="{311BAB56-CDDF-4701-B46C-AD2B7F120E93}">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31" operator="containsText" id="{90A77630-565A-42E6-9E03-448556FD1481}">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C000"/>
                </patternFill>
              </fill>
            </x14:dxf>
          </x14:cfRule>
          <x14:cfRule type="containsText" priority="32" operator="containsText" id="{9507FA8A-1E95-4110-AC8A-0B5194D83A4F}">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0000"/>
                </patternFill>
              </fill>
            </x14:dxf>
          </x14:cfRule>
          <x14:cfRule type="containsText" priority="33" operator="containsText" id="{B8341E07-FDB3-4D66-A2D7-2B911380EDE4}">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x14:cfRule>
          <x14:cfRule type="containsText" priority="34" operator="containsText" id="{D793C3C3-066E-4DAB-8EDA-3925AD11CBE0}">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FF00"/>
                </patternFill>
              </fill>
            </x14:dxf>
          </x14:cfRule>
          <x14:cfRule type="containsText" priority="35" operator="containsText" id="{8F29CFB5-0E90-4203-9494-921C784AC8D2}">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00B050"/>
                </patternFill>
              </fill>
            </x14:dxf>
          </x14:cfRule>
          <xm:sqref>J22 J24:J25</xm:sqref>
        </x14:conditionalFormatting>
        <x14:conditionalFormatting xmlns:xm="http://schemas.microsoft.com/office/excel/2006/main">
          <x14:cfRule type="containsText" priority="26" operator="containsText" id="{3BA9282B-461E-4F67-8C46-3FF865BF0C27}">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27" operator="containsText" id="{2EDB76DF-26F2-45AF-8CDB-2A7815454387}">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28" operator="containsText" id="{596FF540-26E1-42D6-922D-449F3C549B17}">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29" operator="containsText" id="{C0A5FC69-DF1B-4739-8E07-6C0FC5B832EC}">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30" operator="containsText" id="{55F313FE-8AD1-47C1-9069-5427B87BB7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xm:sqref>
        </x14:conditionalFormatting>
        <x14:conditionalFormatting xmlns:xm="http://schemas.microsoft.com/office/excel/2006/main">
          <x14:cfRule type="containsText" priority="21" operator="containsText" id="{3CA0B939-AFFB-4DEA-84E6-C98D604E173C}">
            <xm:f>NOT(ISERROR(SEARCH('\PLANEACIÓN 2019\RIESGOS 2019\VERSIONES FINALES RIESGOS GESTION 2019\[Mapa Riesgos Gestion Seguridad Minera 2019 Final.xlsx]Calificación de Riesgos'!#REF!,J18)))</xm:f>
            <xm:f>'\PLANEACIÓN 2019\RIESGOS 2019\VERSIONES FINALES RIESGOS GESTION 2019\[Mapa Riesgos Gestion Seguridad Minera 2019 Final.xlsx]Calificación de Riesgos'!#REF!</xm:f>
            <x14:dxf>
              <fill>
                <patternFill>
                  <bgColor rgb="FFFFC000"/>
                </patternFill>
              </fill>
            </x14:dxf>
          </x14:cfRule>
          <x14:cfRule type="containsText" priority="22" operator="containsText" id="{3AE280E4-E924-4A4E-A04C-D36CD276AFA0}">
            <xm:f>NOT(ISERROR(SEARCH('\PLANEACIÓN 2019\RIESGOS 2019\VERSIONES FINALES RIESGOS GESTION 2019\[Mapa Riesgos Gestion Seguridad Minera 2019 Final.xlsx]Calificación de Riesgos'!#REF!,J18)))</xm:f>
            <xm:f>'\PLANEACIÓN 2019\RIESGOS 2019\VERSIONES FINALES RIESGOS GESTION 2019\[Mapa Riesgos Gestion Seguridad Minera 2019 Final.xlsx]Calificación de Riesgos'!#REF!</xm:f>
            <x14:dxf>
              <fill>
                <patternFill>
                  <bgColor rgb="FFFF0000"/>
                </patternFill>
              </fill>
            </x14:dxf>
          </x14:cfRule>
          <x14:cfRule type="containsText" priority="23" operator="containsText" id="{F430FC21-ADA7-439C-8771-A20A1E6822D0}">
            <xm:f>NOT(ISERROR(SEARCH('\PLANEACIÓN 2019\RIESGOS 2019\VERSIONES FINALES RIESGOS GESTION 2019\[Mapa Riesgos Gestion Seguridad Minera 2019 Final.xlsx]Calificación de Riesgos'!#REF!,J18)))</xm:f>
            <xm:f>'\PLANEACIÓN 2019\RIESGOS 2019\VERSIONES FINALES RIESGOS GESTION 2019\[Mapa Riesgos Gestion Seguridad Minera 2019 Final.xlsx]Calificación de Riesgos'!#REF!</xm:f>
            <x14:dxf/>
          </x14:cfRule>
          <x14:cfRule type="containsText" priority="24" operator="containsText" id="{63409A88-9F89-43BD-847A-9F51E009A4CE}">
            <xm:f>NOT(ISERROR(SEARCH('\PLANEACIÓN 2019\RIESGOS 2019\VERSIONES FINALES RIESGOS GESTION 2019\[Mapa Riesgos Gestion Seguridad Minera 2019 Final.xlsx]Calificación de Riesgos'!#REF!,J18)))</xm:f>
            <xm:f>'\PLANEACIÓN 2019\RIESGOS 2019\VERSIONES FINALES RIESGOS GESTION 2019\[Mapa Riesgos Gestion Seguridad Minera 2019 Final.xlsx]Calificación de Riesgos'!#REF!</xm:f>
            <x14:dxf>
              <fill>
                <patternFill>
                  <bgColor rgb="FFFFFF00"/>
                </patternFill>
              </fill>
            </x14:dxf>
          </x14:cfRule>
          <x14:cfRule type="containsText" priority="25" operator="containsText" id="{F811F61C-BF1C-489F-845B-5CB3B8070BB3}">
            <xm:f>NOT(ISERROR(SEARCH('\PLANEACIÓN 2019\RIESGOS 2019\VERSIONES FINALES RIESGOS GESTION 2019\[Mapa Riesgos Gestion Seguridad Minera 2019 Final.xlsx]Calificación de Riesgos'!#REF!,J18)))</xm:f>
            <xm:f>'\PLANEACIÓN 2019\RIESGOS 2019\VERSIONES FINALES RIESGOS GESTION 2019\[Mapa Riesgos Gestion Seguridad Minera 2019 Final.xlsx]Calificación de Riesgos'!#REF!</xm:f>
            <x14:dxf>
              <fill>
                <patternFill>
                  <bgColor rgb="FF00B050"/>
                </patternFill>
              </fill>
            </x14:dxf>
          </x14:cfRule>
          <xm:sqref>J18</xm:sqref>
        </x14:conditionalFormatting>
        <x14:conditionalFormatting xmlns:xm="http://schemas.microsoft.com/office/excel/2006/main">
          <x14:cfRule type="containsText" priority="16" operator="containsText" id="{6DDC2595-36C4-4519-BAA2-0F76C9B1B6B7}">
            <xm:f>NOT(ISERROR(SEARCH('\PLANEACIÓN 2019\RIESGOS 2019\VERSIONES FINALES RIESGOS GESTION 2019\[Mapa Riesgos Gestion Seguridad Minera 2019 Final.xlsx]Calificación de Riesgos'!#REF!,J23)))</xm:f>
            <xm:f>'\PLANEACIÓN 2019\RIESGOS 2019\VERSIONES FINALES RIESGOS GESTION 2019\[Mapa Riesgos Gestion Seguridad Minera 2019 Final.xlsx]Calificación de Riesgos'!#REF!</xm:f>
            <x14:dxf>
              <fill>
                <patternFill>
                  <bgColor rgb="FFFFC000"/>
                </patternFill>
              </fill>
            </x14:dxf>
          </x14:cfRule>
          <x14:cfRule type="containsText" priority="17" operator="containsText" id="{3E6C38D2-2986-4DEB-B073-76E2FD00BFE1}">
            <xm:f>NOT(ISERROR(SEARCH('\PLANEACIÓN 2019\RIESGOS 2019\VERSIONES FINALES RIESGOS GESTION 2019\[Mapa Riesgos Gestion Seguridad Minera 2019 Final.xlsx]Calificación de Riesgos'!#REF!,J23)))</xm:f>
            <xm:f>'\PLANEACIÓN 2019\RIESGOS 2019\VERSIONES FINALES RIESGOS GESTION 2019\[Mapa Riesgos Gestion Seguridad Minera 2019 Final.xlsx]Calificación de Riesgos'!#REF!</xm:f>
            <x14:dxf>
              <fill>
                <patternFill>
                  <bgColor rgb="FFFF0000"/>
                </patternFill>
              </fill>
            </x14:dxf>
          </x14:cfRule>
          <x14:cfRule type="containsText" priority="18" operator="containsText" id="{2595201E-92A8-47B7-8EAD-C4C8659CC37D}">
            <xm:f>NOT(ISERROR(SEARCH('\PLANEACIÓN 2019\RIESGOS 2019\VERSIONES FINALES RIESGOS GESTION 2019\[Mapa Riesgos Gestion Seguridad Minera 2019 Final.xlsx]Calificación de Riesgos'!#REF!,J23)))</xm:f>
            <xm:f>'\PLANEACIÓN 2019\RIESGOS 2019\VERSIONES FINALES RIESGOS GESTION 2019\[Mapa Riesgos Gestion Seguridad Minera 2019 Final.xlsx]Calificación de Riesgos'!#REF!</xm:f>
            <x14:dxf/>
          </x14:cfRule>
          <x14:cfRule type="containsText" priority="19" operator="containsText" id="{766C2F7E-A0EC-41F7-B119-AD24CCABA3B8}">
            <xm:f>NOT(ISERROR(SEARCH('\PLANEACIÓN 2019\RIESGOS 2019\VERSIONES FINALES RIESGOS GESTION 2019\[Mapa Riesgos Gestion Seguridad Minera 2019 Final.xlsx]Calificación de Riesgos'!#REF!,J23)))</xm:f>
            <xm:f>'\PLANEACIÓN 2019\RIESGOS 2019\VERSIONES FINALES RIESGOS GESTION 2019\[Mapa Riesgos Gestion Seguridad Minera 2019 Final.xlsx]Calificación de Riesgos'!#REF!</xm:f>
            <x14:dxf>
              <fill>
                <patternFill>
                  <bgColor rgb="FFFFFF00"/>
                </patternFill>
              </fill>
            </x14:dxf>
          </x14:cfRule>
          <x14:cfRule type="containsText" priority="20" operator="containsText" id="{4FD3A7FF-714F-452C-8D6A-CAB55F2ABDDD}">
            <xm:f>NOT(ISERROR(SEARCH('\PLANEACIÓN 2019\RIESGOS 2019\VERSIONES FINALES RIESGOS GESTION 2019\[Mapa Riesgos Gestion Seguridad Minera 2019 Final.xlsx]Calificación de Riesgos'!#REF!,J23)))</xm:f>
            <xm:f>'\PLANEACIÓN 2019\RIESGOS 2019\VERSIONES FINALES RIESGOS GESTION 2019\[Mapa Riesgos Gestion Seguridad Minera 2019 Final.xlsx]Calificación de Riesgos'!#REF!</xm:f>
            <x14:dxf>
              <fill>
                <patternFill>
                  <bgColor rgb="FF00B050"/>
                </patternFill>
              </fill>
            </x14:dxf>
          </x14:cfRule>
          <xm:sqref>J23</xm:sqref>
        </x14:conditionalFormatting>
        <x14:conditionalFormatting xmlns:xm="http://schemas.microsoft.com/office/excel/2006/main">
          <x14:cfRule type="containsText" priority="11" operator="containsText" id="{D46F347C-0D2B-4AD5-8791-92B28424F470}">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12" operator="containsText" id="{F4E9F6B9-E1B6-4321-9D3E-07F8F3CD5E48}">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13" operator="containsText" id="{CE373010-7701-4873-B394-D8F90AC92D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14" operator="containsText" id="{7456DC4C-A489-4C56-913F-FC79963D923E}">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15" operator="containsText" id="{27A5250D-42E7-4BE7-9D85-CF26FE953604}">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CB1D0DB1-FE62-4DAA-A467-4E0820E32F80}">
            <xm:f>NOT(ISERROR(SEARCH('\PLANEACIÓN 2019\RIESGOS 2019\VERSIONES FINALES RIESGOS GESTION 2019\[Mapa Riesgos Gestion Seguridad Minera 2019 Final.xlsx]Calificación de Riesgos'!#REF!,O19)))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290FCA0C-7275-4865-89FB-4CF0AA6CE8D5}">
            <xm:f>NOT(ISERROR(SEARCH('\PLANEACIÓN 2019\RIESGOS 2019\VERSIONES FINALES RIESGOS GESTION 2019\[Mapa Riesgos Gestion Seguridad Minera 2019 Final.xlsx]Calificación de Riesgos'!#REF!,O19)))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8C2D8115-717C-4B27-8F0B-80FBCD472C59}">
            <xm:f>NOT(ISERROR(SEARCH('\PLANEACIÓN 2019\RIESGOS 2019\VERSIONES FINALES RIESGOS GESTION 2019\[Mapa Riesgos Gestion Seguridad Minera 2019 Final.xlsx]Calificación de Riesgos'!#REF!,O19)))</xm:f>
            <xm:f>'\PLANEACIÓN 2019\RIESGOS 2019\VERSIONES FINALES RIESGOS GESTION 2019\[Mapa Riesgos Gestion Seguridad Minera 2019 Final.xlsx]Calificación de Riesgos'!#REF!</xm:f>
            <x14:dxf/>
          </x14:cfRule>
          <x14:cfRule type="containsText" priority="9" operator="containsText" id="{6047B4D7-99BC-412F-BC4D-7AF06BA26510}">
            <xm:f>NOT(ISERROR(SEARCH('\PLANEACIÓN 2019\RIESGOS 2019\VERSIONES FINALES RIESGOS GESTION 2019\[Mapa Riesgos Gestion Seguridad Minera 2019 Final.xlsx]Calificación de Riesgos'!#REF!,O19)))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F9E324B4-8D74-448B-8E65-9A2E82C731A0}">
            <xm:f>NOT(ISERROR(SEARCH('\PLANEACIÓN 2019\RIESGOS 2019\VERSIONES FINALES RIESGOS GESTION 2019\[Mapa Riesgos Gestion Seguridad Minera 2019 Final.xlsx]Calificación de Riesgos'!#REF!,O19)))</xm:f>
            <xm:f>'\PLANEACIÓN 2019\RIESGOS 2019\VERSIONES FINALES RIESGOS GESTION 2019\[Mapa Riesgos Gestion Seguridad Minera 2019 Final.xlsx]Calificación de Riesgos'!#REF!</xm:f>
            <x14:dxf>
              <fill>
                <patternFill>
                  <bgColor rgb="FF00B050"/>
                </patternFill>
              </fill>
            </x14:dxf>
          </x14:cfRule>
          <xm:sqref>O19:O25</xm:sqref>
        </x14:conditionalFormatting>
        <x14:conditionalFormatting xmlns:xm="http://schemas.microsoft.com/office/excel/2006/main">
          <x14:cfRule type="containsText" priority="1" operator="containsText" id="{76B7D4D4-F504-4ECB-BA86-55DA379E4F0B}">
            <xm:f>NOT(ISERROR(SEARCH('\PLANEACIÓN 2019\RIESGOS 2019\VERSIONES FINALES RIESGOS GESTION 2019\[Mapa Riesgos Gestion Seguridad Minera 2019 Final.xlsx]Calificación de Riesgos'!#REF!,O16)))</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B9B219A9-FF3B-4097-9B78-82EFBC37EA0A}">
            <xm:f>NOT(ISERROR(SEARCH('\PLANEACIÓN 2019\RIESGOS 2019\VERSIONES FINALES RIESGOS GESTION 2019\[Mapa Riesgos Gestion Seguridad Minera 2019 Final.xlsx]Calificación de Riesgos'!#REF!,O16)))</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50072F58-DE8A-488C-ADE1-D7249B9AED88}">
            <xm:f>NOT(ISERROR(SEARCH('\PLANEACIÓN 2019\RIESGOS 2019\VERSIONES FINALES RIESGOS GESTION 2019\[Mapa Riesgos Gestion Seguridad Minera 2019 Final.xlsx]Calificación de Riesgos'!#REF!,O16)))</xm:f>
            <xm:f>'\PLANEACIÓN 2019\RIESGOS 2019\VERSIONES FINALES RIESGOS GESTION 2019\[Mapa Riesgos Gestion Seguridad Minera 2019 Final.xlsx]Calificación de Riesgos'!#REF!</xm:f>
            <x14:dxf/>
          </x14:cfRule>
          <x14:cfRule type="containsText" priority="4" operator="containsText" id="{7E8D8BB4-DFA0-4677-BF28-E4B705AFD8AB}">
            <xm:f>NOT(ISERROR(SEARCH('\PLANEACIÓN 2019\RIESGOS 2019\VERSIONES FINALES RIESGOS GESTION 2019\[Mapa Riesgos Gestion Seguridad Minera 2019 Final.xlsx]Calificación de Riesgos'!#REF!,O16)))</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05F14778-78CB-4289-88A5-B676660648BB}">
            <xm:f>NOT(ISERROR(SEARCH('\PLANEACIÓN 2019\RIESGOS 2019\VERSIONES FINALES RIESGOS GESTION 2019\[Mapa Riesgos Gestion Seguridad Minera 2019 Final.xlsx]Calificación de Riesgos'!#REF!,O16)))</xm:f>
            <xm:f>'\PLANEACIÓN 2019\RIESGOS 2019\VERSIONES FINALES RIESGOS GESTION 2019\[Mapa Riesgos Gestion Seguridad Minera 2019 Final.xlsx]Calificación de Riesgos'!#REF!</xm:f>
            <x14:dxf>
              <fill>
                <patternFill>
                  <bgColor rgb="FF00B050"/>
                </patternFill>
              </fill>
            </x14:dxf>
          </x14:cfRule>
          <xm:sqref>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sqref="A1:AA5"/>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3" width="61.28515625" style="14" customWidth="1"/>
    <col min="24" max="27" width="11.42578125" style="14"/>
    <col min="28" max="36" width="0" style="14" hidden="1" customWidth="1"/>
    <col min="37" max="16384" width="11.42578125" style="14"/>
  </cols>
  <sheetData>
    <row r="1" spans="1:35" ht="16.5" customHeight="1" x14ac:dyDescent="0.3">
      <c r="A1" s="177" t="s">
        <v>423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49" t="s">
        <v>54</v>
      </c>
      <c r="W6" s="150"/>
      <c r="X6" s="150"/>
      <c r="Y6" s="150"/>
      <c r="Z6" s="150"/>
      <c r="AA6" s="151"/>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135" customHeight="1" x14ac:dyDescent="0.25">
      <c r="A9" s="23">
        <v>1</v>
      </c>
      <c r="B9" s="22" t="str">
        <f>+[15]Identificacion!B4</f>
        <v>GENERACIÓN DE TITULOS MINEROS</v>
      </c>
      <c r="C9" s="22" t="str">
        <f>+[15]Identificacion!C4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2" t="str">
        <f>+[15]Identificacion!D4</f>
        <v>1. El Software CMC en su modulo de áreas no es confiable en cuanto a la información necesaria para la evaluación.
2. Debilidades en la aplicación de los controles de seguimiento de las evaluaciones técnicas que realiza el proceso.</v>
      </c>
      <c r="E9" s="22" t="str">
        <f>+[15]Identificacion!E4</f>
        <v>Deficiencias y generación incorrecta de evaluaciones técnicas para la generación de títulos mineros.</v>
      </c>
      <c r="F9" s="22" t="str">
        <f>+[15]Identificacion!F4</f>
        <v>1. Procesos disciplinarios
2. Quejas e insatisfacción
3. Sanciones
4. Pérdida de imagen credibilidad o confianza
5. Demoras y/o interrupción el servicio</v>
      </c>
      <c r="G9" s="23">
        <f>+[15]Probabilidad!E14</f>
        <v>5</v>
      </c>
      <c r="H9" s="23">
        <f>+'[15]Impacto '!D6</f>
        <v>4</v>
      </c>
      <c r="I9" s="23">
        <f t="shared" ref="I9:I10" si="0">+G9*H9</f>
        <v>20</v>
      </c>
      <c r="J9" s="64" t="str">
        <f>IF(AND(I9&gt;=0,I9&lt;=4),'[15]Calificación de Riesgos'!$H$10,IF(I9&lt;7,'[15]Calificación de Riesgos'!$H$9,IF(I9&lt;13,'[15]Calificación de Riesgos'!$H$8,IF(I9&lt;=25,'[15]Calificación de Riesgos'!$H$7))))</f>
        <v>EXTREMA</v>
      </c>
      <c r="K9" s="22" t="s">
        <v>415</v>
      </c>
      <c r="L9" s="23">
        <v>3</v>
      </c>
      <c r="M9" s="23">
        <v>4</v>
      </c>
      <c r="N9" s="23">
        <f>+L9*M9</f>
        <v>12</v>
      </c>
      <c r="O9" s="64" t="str">
        <f>+'[15]Calificación de Riesgos'!H7</f>
        <v>EXTREMA</v>
      </c>
      <c r="P9" s="18" t="s">
        <v>7</v>
      </c>
      <c r="Q9" s="22" t="s">
        <v>416</v>
      </c>
      <c r="R9" s="24" t="s">
        <v>417</v>
      </c>
      <c r="S9" s="20">
        <v>43496</v>
      </c>
      <c r="T9" s="20">
        <v>43814</v>
      </c>
      <c r="U9" s="110" t="s">
        <v>418</v>
      </c>
      <c r="V9" s="130" t="s">
        <v>627</v>
      </c>
      <c r="W9" s="117" t="s">
        <v>628</v>
      </c>
      <c r="X9" s="116" t="s">
        <v>446</v>
      </c>
      <c r="Y9" s="116" t="s">
        <v>447</v>
      </c>
      <c r="Z9" s="116" t="s">
        <v>476</v>
      </c>
      <c r="AA9" s="116" t="s">
        <v>476</v>
      </c>
      <c r="AB9" s="18"/>
      <c r="AC9" s="18"/>
      <c r="AD9" s="18"/>
      <c r="AE9" s="18"/>
      <c r="AF9" s="18"/>
      <c r="AG9" s="18"/>
      <c r="AH9" s="18"/>
      <c r="AI9" s="18"/>
    </row>
    <row r="10" spans="1:35" s="17" customFormat="1" ht="164.25" customHeight="1" x14ac:dyDescent="0.25">
      <c r="A10" s="23">
        <v>2</v>
      </c>
      <c r="B10" s="22" t="str">
        <f>+[15]Identificacion!B5</f>
        <v>GENERACIÓN DE TITULOS MINEROS
(Grupo de Legalización Minera)</v>
      </c>
      <c r="C10" s="22" t="str">
        <f>+[15]Identificacion!C5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2" t="str">
        <f>+[15]Identificacion!D5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2" t="str">
        <f>+[15]Identificacion!E5</f>
        <v>Falencias en la elaboración de los conceptos técnicos frente a áreas mal definidas.</v>
      </c>
      <c r="F10" s="22" t="str">
        <f>+[15]Identificacion!F5</f>
        <v>1. Sanciones de tipo disciplinario.
2. Quejas e insatisfacción
3. Pérdida de imagen credibilidad o confianza
4. Reprocesos.
5. Degaste Administrativo.</v>
      </c>
      <c r="G10" s="23">
        <f>+[15]Probabilidad!E15</f>
        <v>2</v>
      </c>
      <c r="H10" s="23">
        <f>+'[15]Impacto '!D7</f>
        <v>2</v>
      </c>
      <c r="I10" s="23">
        <f t="shared" si="0"/>
        <v>4</v>
      </c>
      <c r="J10" s="137" t="str">
        <f>IF(AND(I10&gt;=0,I10&lt;=4),'[15]Calificación de Riesgos'!$H$10,IF(I10&lt;7,'[15]Calificación de Riesgos'!$H$9,IF(I10&lt;13,'[15]Calificación de Riesgos'!$H$8,IF(I10&lt;=25,'[15]Calificación de Riesgos'!$H$7))))</f>
        <v>BAJA</v>
      </c>
      <c r="K10" s="21" t="s">
        <v>419</v>
      </c>
      <c r="L10" s="23">
        <v>1</v>
      </c>
      <c r="M10" s="23">
        <v>1</v>
      </c>
      <c r="N10" s="23">
        <f t="shared" ref="N10" si="1">+L10*M10</f>
        <v>1</v>
      </c>
      <c r="O10" s="137" t="str">
        <f>IF(AND(N10&gt;=0,N10&lt;=4),'[15]Calificación de Riesgos'!$H$10,IF(N10&lt;7,'[15]Calificación de Riesgos'!$H$9,IF(N10&lt;13,'[15]Calificación de Riesgos'!$H$8,IF(N10&lt;=25,'[15]Calificación de Riesgos'!$H$7))))</f>
        <v>BAJA</v>
      </c>
      <c r="P10" s="18" t="s">
        <v>7</v>
      </c>
      <c r="Q10" s="85" t="s">
        <v>420</v>
      </c>
      <c r="R10" s="93" t="s">
        <v>421</v>
      </c>
      <c r="S10" s="20">
        <v>43496</v>
      </c>
      <c r="T10" s="20">
        <v>43814</v>
      </c>
      <c r="U10" s="93" t="s">
        <v>422</v>
      </c>
      <c r="V10" s="117" t="s">
        <v>629</v>
      </c>
      <c r="W10" s="18" t="s">
        <v>630</v>
      </c>
      <c r="X10" s="116" t="s">
        <v>598</v>
      </c>
      <c r="Y10" s="116" t="s">
        <v>447</v>
      </c>
      <c r="Z10" s="116" t="s">
        <v>476</v>
      </c>
      <c r="AA10" s="116" t="s">
        <v>476</v>
      </c>
      <c r="AB10" s="18"/>
      <c r="AC10" s="18"/>
      <c r="AD10" s="18"/>
      <c r="AE10" s="18"/>
      <c r="AF10" s="18"/>
      <c r="AG10" s="18"/>
      <c r="AH10" s="18"/>
      <c r="AI10"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A4" zoomScale="80" zoomScaleNormal="80" workbookViewId="0">
      <selection activeCell="A4" sqref="A4:AA8"/>
    </sheetView>
  </sheetViews>
  <sheetFormatPr baseColWidth="10"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96.5703125" style="14" customWidth="1"/>
    <col min="23" max="23" width="83.42578125" style="14" customWidth="1"/>
    <col min="24" max="24" width="24.7109375" style="14" customWidth="1"/>
    <col min="25" max="26" width="17.140625" style="14" customWidth="1"/>
    <col min="27" max="27" width="11.42578125" style="14"/>
    <col min="28" max="36" width="0" style="14" hidden="1" customWidth="1"/>
    <col min="37" max="16384" width="11.42578125" style="14"/>
  </cols>
  <sheetData>
    <row r="1" spans="1:35" ht="9.75" hidden="1" customHeight="1" x14ac:dyDescent="0.3">
      <c r="B1" s="204"/>
      <c r="C1" s="205"/>
      <c r="D1" s="205"/>
      <c r="E1" s="205"/>
      <c r="F1" s="205"/>
      <c r="G1" s="205"/>
      <c r="H1" s="205"/>
      <c r="I1" s="205"/>
      <c r="J1" s="205"/>
      <c r="K1" s="205"/>
      <c r="L1" s="205"/>
      <c r="M1" s="205"/>
      <c r="N1" s="205"/>
      <c r="O1" s="205"/>
      <c r="P1" s="205"/>
      <c r="Q1" s="205"/>
      <c r="R1" s="205"/>
      <c r="S1" s="205"/>
      <c r="T1" s="205"/>
      <c r="U1" s="205"/>
      <c r="V1" s="206"/>
    </row>
    <row r="2" spans="1:35" hidden="1" x14ac:dyDescent="0.3">
      <c r="B2" s="207"/>
      <c r="C2" s="208"/>
      <c r="D2" s="208"/>
      <c r="E2" s="208"/>
      <c r="F2" s="208"/>
      <c r="G2" s="208"/>
      <c r="H2" s="208"/>
      <c r="I2" s="208"/>
      <c r="J2" s="208"/>
      <c r="K2" s="208"/>
      <c r="L2" s="208"/>
      <c r="M2" s="208"/>
      <c r="N2" s="208"/>
      <c r="O2" s="208"/>
      <c r="P2" s="208"/>
      <c r="Q2" s="208"/>
      <c r="R2" s="208"/>
      <c r="S2" s="208"/>
      <c r="T2" s="208"/>
      <c r="U2" s="208"/>
      <c r="V2" s="209"/>
      <c r="W2" s="29"/>
    </row>
    <row r="3" spans="1:35" ht="28.5" hidden="1" customHeight="1" x14ac:dyDescent="0.3">
      <c r="B3" s="210"/>
      <c r="C3" s="210"/>
      <c r="D3" s="210"/>
      <c r="E3" s="210"/>
      <c r="F3" s="210"/>
      <c r="G3" s="210"/>
      <c r="H3" s="210"/>
      <c r="I3" s="210"/>
      <c r="J3" s="210"/>
      <c r="K3" s="210"/>
      <c r="L3" s="210"/>
      <c r="M3" s="210"/>
      <c r="N3" s="210"/>
      <c r="O3" s="210"/>
      <c r="P3" s="210"/>
      <c r="Q3" s="210"/>
      <c r="R3" s="210"/>
      <c r="S3" s="210"/>
      <c r="T3" s="210"/>
      <c r="U3" s="210"/>
      <c r="V3" s="210"/>
      <c r="W3" s="29"/>
    </row>
    <row r="4" spans="1:35" ht="16.5" customHeight="1" x14ac:dyDescent="0.3">
      <c r="A4" s="177" t="s">
        <v>379</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6.5" customHeight="1" x14ac:dyDescent="0.3">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35" ht="13.5" customHeight="1" x14ac:dyDescent="0.3">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35" ht="13.5" customHeight="1" x14ac:dyDescent="0.3">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35" ht="13.5" customHeight="1" x14ac:dyDescent="0.3">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row>
    <row r="9" spans="1:35" s="25" customFormat="1" ht="20.25" customHeight="1" x14ac:dyDescent="0.3">
      <c r="A9" s="156" t="s">
        <v>59</v>
      </c>
      <c r="B9" s="156"/>
      <c r="C9" s="156"/>
      <c r="D9" s="156"/>
      <c r="E9" s="156"/>
      <c r="F9" s="156"/>
      <c r="G9" s="155" t="s">
        <v>58</v>
      </c>
      <c r="H9" s="155"/>
      <c r="I9" s="155"/>
      <c r="J9" s="155"/>
      <c r="K9" s="26" t="s">
        <v>57</v>
      </c>
      <c r="L9" s="156" t="s">
        <v>56</v>
      </c>
      <c r="M9" s="156"/>
      <c r="N9" s="156"/>
      <c r="O9" s="156"/>
      <c r="P9" s="156"/>
      <c r="Q9" s="156" t="s">
        <v>55</v>
      </c>
      <c r="R9" s="156"/>
      <c r="S9" s="156"/>
      <c r="T9" s="156"/>
      <c r="U9" s="156"/>
      <c r="V9" s="156" t="s">
        <v>54</v>
      </c>
      <c r="W9" s="156"/>
      <c r="X9" s="156"/>
      <c r="Y9" s="156"/>
      <c r="Z9" s="156"/>
      <c r="AA9" s="156"/>
      <c r="AB9" s="149" t="s">
        <v>53</v>
      </c>
      <c r="AC9" s="150"/>
      <c r="AD9" s="150"/>
      <c r="AE9" s="150"/>
      <c r="AF9" s="150"/>
      <c r="AG9" s="150"/>
      <c r="AH9" s="150"/>
      <c r="AI9" s="151"/>
    </row>
    <row r="10" spans="1:35" s="25" customFormat="1" ht="46.5" customHeight="1" x14ac:dyDescent="0.3">
      <c r="A10" s="156"/>
      <c r="B10" s="156"/>
      <c r="C10" s="156"/>
      <c r="D10" s="156"/>
      <c r="E10" s="156"/>
      <c r="F10" s="156"/>
      <c r="G10" s="155" t="s">
        <v>52</v>
      </c>
      <c r="H10" s="155"/>
      <c r="I10" s="155"/>
      <c r="J10" s="155"/>
      <c r="K10" s="26" t="s">
        <v>51</v>
      </c>
      <c r="L10" s="155" t="s">
        <v>50</v>
      </c>
      <c r="M10" s="155"/>
      <c r="N10" s="28"/>
      <c r="O10" s="155" t="s">
        <v>49</v>
      </c>
      <c r="P10" s="155"/>
      <c r="Q10" s="156"/>
      <c r="R10" s="156"/>
      <c r="S10" s="156"/>
      <c r="T10" s="156"/>
      <c r="U10" s="156"/>
      <c r="V10" s="156"/>
      <c r="W10" s="156"/>
      <c r="X10" s="156"/>
      <c r="Y10" s="156"/>
      <c r="Z10" s="156"/>
      <c r="AA10" s="156"/>
      <c r="AB10" s="152"/>
      <c r="AC10" s="153"/>
      <c r="AD10" s="153"/>
      <c r="AE10" s="153"/>
      <c r="AF10" s="153"/>
      <c r="AG10" s="153"/>
      <c r="AH10" s="153"/>
      <c r="AI10" s="154"/>
    </row>
    <row r="11" spans="1:35" s="25" customFormat="1" ht="66" customHeight="1" x14ac:dyDescent="0.3">
      <c r="A11" s="26" t="s">
        <v>48</v>
      </c>
      <c r="B11" s="26" t="s">
        <v>47</v>
      </c>
      <c r="C11" s="26" t="s">
        <v>46</v>
      </c>
      <c r="D11" s="26" t="s">
        <v>45</v>
      </c>
      <c r="E11" s="26" t="s">
        <v>44</v>
      </c>
      <c r="F11" s="26" t="s">
        <v>43</v>
      </c>
      <c r="G11" s="26" t="s">
        <v>39</v>
      </c>
      <c r="H11" s="26" t="s">
        <v>38</v>
      </c>
      <c r="I11" s="26" t="s">
        <v>42</v>
      </c>
      <c r="J11" s="26" t="s">
        <v>41</v>
      </c>
      <c r="K11" s="26" t="s">
        <v>40</v>
      </c>
      <c r="L11" s="26" t="s">
        <v>39</v>
      </c>
      <c r="M11" s="26" t="s">
        <v>38</v>
      </c>
      <c r="N11" s="26" t="s">
        <v>37</v>
      </c>
      <c r="O11" s="26" t="s">
        <v>36</v>
      </c>
      <c r="P11" s="26" t="s">
        <v>35</v>
      </c>
      <c r="Q11" s="26" t="s">
        <v>34</v>
      </c>
      <c r="R11" s="26" t="s">
        <v>33</v>
      </c>
      <c r="S11" s="26" t="s">
        <v>32</v>
      </c>
      <c r="T11" s="26" t="s">
        <v>31</v>
      </c>
      <c r="U11" s="26" t="s">
        <v>30</v>
      </c>
      <c r="V11" s="26" t="s">
        <v>29</v>
      </c>
      <c r="W11" s="26" t="s">
        <v>28</v>
      </c>
      <c r="X11" s="26" t="s">
        <v>27</v>
      </c>
      <c r="Y11" s="26" t="s">
        <v>23</v>
      </c>
      <c r="Z11" s="26" t="s">
        <v>22</v>
      </c>
      <c r="AA11" s="26" t="s">
        <v>21</v>
      </c>
      <c r="AB11" s="26" t="s">
        <v>26</v>
      </c>
      <c r="AC11" s="26" t="s">
        <v>25</v>
      </c>
      <c r="AD11" s="26" t="s">
        <v>24</v>
      </c>
      <c r="AE11" s="26" t="s">
        <v>23</v>
      </c>
      <c r="AF11" s="26" t="s">
        <v>22</v>
      </c>
      <c r="AG11" s="26" t="s">
        <v>21</v>
      </c>
      <c r="AH11" s="26" t="s">
        <v>20</v>
      </c>
      <c r="AI11" s="26" t="s">
        <v>19</v>
      </c>
    </row>
    <row r="12" spans="1:35" s="17" customFormat="1" ht="143.25" customHeight="1" x14ac:dyDescent="0.25">
      <c r="A12" s="23">
        <v>1</v>
      </c>
      <c r="B12" s="22" t="str">
        <f>+[16]Identificacion!B4</f>
        <v xml:space="preserve">GESTION DE LA INVERSION MINERA </v>
      </c>
      <c r="C12" s="22" t="str">
        <f>+[16]Identificacion!C4</f>
        <v>Gestionar las actividades o mecanismos que contribuyan a la divulgación de las estrategias de Promoción de la Agencia Nacional de Minería (ANM), con el fin de promover la inversión en el sector minero colombiano.</v>
      </c>
      <c r="D12" s="22" t="str">
        <f>+[16]Identificacion!D4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8" t="str">
        <f>+[16]Identificacion!E4</f>
        <v xml:space="preserve">Cancelación evento de promoción del sector minero,  organizado por la ANM  </v>
      </c>
      <c r="F12" s="18" t="str">
        <f>+[16]Identificacion!F4</f>
        <v>1. Gastos no recuperables 
2. Detrimento de la imagen de la Entidad ante sus grupos de valor.
3. No divulgación de la estrategia de promoción
4. Desgaste administrativo y operativo.</v>
      </c>
      <c r="G12" s="23">
        <f>+[16]Probabilidad!E14</f>
        <v>3</v>
      </c>
      <c r="H12" s="23">
        <f>+'[16]Impacto '!D6</f>
        <v>3</v>
      </c>
      <c r="I12" s="23">
        <f t="shared" ref="I12:I15" si="0">+G12*H12</f>
        <v>9</v>
      </c>
      <c r="J12" s="78" t="str">
        <f>IF(AND(I12&gt;=0,I12&lt;=4),'[16]Calificación de Riesgos'!$H$10,IF(I12&lt;7,'[16]Calificación de Riesgos'!$H$9,IF(I12&lt;13,'[16]Calificación de Riesgos'!$H$8,IF(I12&lt;=25,'[16]Calificación de Riesgos'!$H$7))))</f>
        <v>ALTA</v>
      </c>
      <c r="K12" s="66" t="s">
        <v>364</v>
      </c>
      <c r="L12" s="23">
        <v>1</v>
      </c>
      <c r="M12" s="23">
        <v>1</v>
      </c>
      <c r="N12" s="23">
        <f>+L12*M12</f>
        <v>1</v>
      </c>
      <c r="O12" s="89" t="str">
        <f>IF(AND(N12&gt;=0,N12&lt;=4),'[16]Calificación de Riesgos'!$H$10,IF(N12&lt;7,'[16]Calificación de Riesgos'!$H$9,IF(N12&lt;13,'[16]Calificación de Riesgos'!$H$8,IF(N12&lt;=25,'[16]Calificación de Riesgos'!$H$7))))</f>
        <v>BAJA</v>
      </c>
      <c r="P12" s="23" t="s">
        <v>7</v>
      </c>
      <c r="Q12" s="22" t="s">
        <v>365</v>
      </c>
      <c r="R12" s="24" t="s">
        <v>366</v>
      </c>
      <c r="S12" s="20">
        <v>43496</v>
      </c>
      <c r="T12" s="20">
        <v>43814</v>
      </c>
      <c r="U12" s="19" t="s">
        <v>367</v>
      </c>
      <c r="V12" s="24" t="s">
        <v>631</v>
      </c>
      <c r="W12" s="24" t="s">
        <v>632</v>
      </c>
      <c r="X12" s="120" t="s">
        <v>446</v>
      </c>
      <c r="Y12" s="120" t="s">
        <v>447</v>
      </c>
      <c r="Z12" s="18" t="s">
        <v>473</v>
      </c>
      <c r="AA12" s="18" t="s">
        <v>473</v>
      </c>
      <c r="AB12" s="18"/>
      <c r="AC12" s="18"/>
      <c r="AD12" s="18"/>
      <c r="AE12" s="18"/>
      <c r="AF12" s="18"/>
      <c r="AG12" s="18"/>
      <c r="AH12" s="18"/>
      <c r="AI12" s="18"/>
    </row>
    <row r="13" spans="1:35" s="17" customFormat="1" ht="123" customHeight="1" x14ac:dyDescent="0.25">
      <c r="A13" s="23">
        <v>2</v>
      </c>
      <c r="B13" s="22" t="str">
        <f>+[16]Identificacion!B5</f>
        <v xml:space="preserve">GESTION DE LA INVERSION MINERA </v>
      </c>
      <c r="C13" s="22" t="str">
        <f>+[16]Identificacion!C5</f>
        <v>Gestionar las actividades o mecanismos que contribuyan a la divulgación de las estrategias de Promoción de la Agencia Nacional de Minería (ANM), con el fin de promover la inversión en el sector minero colombiano.</v>
      </c>
      <c r="D13" s="22" t="str">
        <f>+[16]Identificacion!D5</f>
        <v>1. Continuos cambios en la información de origen técnico y económico.
2. Desactualización de la información publicada por parte de las fuentes de información técnica y/o económica.
3. Error humano</v>
      </c>
      <c r="E13" s="18" t="str">
        <f>+[16]Identificacion!E5</f>
        <v xml:space="preserve">Suministro de información errónea y/o desactualizada al publico objetivo en los eventos de promoción minera </v>
      </c>
      <c r="F13" s="18" t="str">
        <f>+[16]Identificacion!F5</f>
        <v>1. Gastos no recuperables (material promocional) 
2. Desgaste administrativo y operativo.
3. Detrimento de la imagen de la Entidad ante sus grupos de valor..
4. Filtración de información inexacta de la ANM en otros medios de difusión.</v>
      </c>
      <c r="G13" s="23">
        <f>+[16]Probabilidad!E15</f>
        <v>3</v>
      </c>
      <c r="H13" s="23">
        <f>+'[16]Impacto '!D7</f>
        <v>4</v>
      </c>
      <c r="I13" s="23">
        <f t="shared" si="0"/>
        <v>12</v>
      </c>
      <c r="J13" s="88" t="str">
        <f>IF(AND(I13&gt;=0,I13&lt;=4),'[16]Calificación de Riesgos'!$H$10,IF(I13&lt;7,'[16]Calificación de Riesgos'!$H$9,IF(I13&lt;12,'[16]Calificación de Riesgos'!$H$8,IF(I13&lt;=25,'[16]Calificación de Riesgos'!$H$7))))</f>
        <v>EXTREMA</v>
      </c>
      <c r="K13" s="66" t="s">
        <v>368</v>
      </c>
      <c r="L13" s="23">
        <v>1</v>
      </c>
      <c r="M13" s="23">
        <v>2</v>
      </c>
      <c r="N13" s="23">
        <f t="shared" ref="N13:N15" si="1">+L13*M13</f>
        <v>2</v>
      </c>
      <c r="O13" s="89" t="str">
        <f>IF(AND(N13&gt;=0,N13&lt;=4),'[16]Calificación de Riesgos'!$H$10,IF(N13&lt;7,'[16]Calificación de Riesgos'!$H$9,IF(N13&lt;13,'[16]Calificación de Riesgos'!$H$8,IF(N13&lt;=25,'[16]Calificación de Riesgos'!$H$7))))</f>
        <v>BAJA</v>
      </c>
      <c r="P13" s="23" t="s">
        <v>7</v>
      </c>
      <c r="Q13" s="22" t="s">
        <v>369</v>
      </c>
      <c r="R13" s="21" t="s">
        <v>370</v>
      </c>
      <c r="S13" s="20">
        <v>43496</v>
      </c>
      <c r="T13" s="20">
        <v>43814</v>
      </c>
      <c r="U13" s="19" t="s">
        <v>371</v>
      </c>
      <c r="V13" s="102" t="s">
        <v>633</v>
      </c>
      <c r="W13" s="24" t="s">
        <v>634</v>
      </c>
      <c r="X13" s="120" t="s">
        <v>446</v>
      </c>
      <c r="Y13" s="120" t="s">
        <v>447</v>
      </c>
      <c r="Z13" s="18" t="s">
        <v>473</v>
      </c>
      <c r="AA13" s="18" t="s">
        <v>473</v>
      </c>
      <c r="AB13" s="18"/>
      <c r="AC13" s="18"/>
      <c r="AD13" s="18"/>
      <c r="AE13" s="18"/>
      <c r="AF13" s="18"/>
      <c r="AG13" s="18"/>
      <c r="AH13" s="18"/>
      <c r="AI13" s="18"/>
    </row>
    <row r="14" spans="1:35" s="17" customFormat="1" ht="172.5" customHeight="1" x14ac:dyDescent="0.25">
      <c r="A14" s="23">
        <v>3</v>
      </c>
      <c r="B14" s="22" t="str">
        <f>+[16]Identificacion!B6</f>
        <v xml:space="preserve">GESTION DE LA INVERSION MINERA </v>
      </c>
      <c r="C14" s="22" t="str">
        <f>+[16]Identificacion!C6</f>
        <v>Gestionar las actividades o mecanismos que contribuyan a la divulgación de las estrategias de Promoción de la Agencia Nacional de Minería (ANM), con el fin de promover la inversión en el sector minero colombiano.</v>
      </c>
      <c r="D14" s="22" t="str">
        <f>+[16]Identificacion!D6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8" t="str">
        <f>+[16]Identificacion!E6</f>
        <v>Deficiencias en la calidad del servicio prestado por la ANM en el evento de promoción del sector minero</v>
      </c>
      <c r="F14" s="18" t="str">
        <f>+[16]Identificacion!F6</f>
        <v>1. Detrimento de la imagen de la Entidad ante sus grupos de valor. 
2. Perdida de confianza en lo público por parte de terceros.</v>
      </c>
      <c r="G14" s="23">
        <f>+[16]Probabilidad!E16</f>
        <v>2</v>
      </c>
      <c r="H14" s="23">
        <f>+'[16]Impacto '!D8</f>
        <v>3</v>
      </c>
      <c r="I14" s="23">
        <f t="shared" si="0"/>
        <v>6</v>
      </c>
      <c r="J14" s="87" t="str">
        <f>IF(AND(I14&gt;=0,I14&lt;=4),'[16]Calificación de Riesgos'!$H$10,IF(I14&lt;7,'[16]Calificación de Riesgos'!$H$9,IF(I14&lt;13,'[16]Calificación de Riesgos'!$H$8,IF(I14&lt;=25,'[16]Calificación de Riesgos'!$H$7))))</f>
        <v>MODERADA</v>
      </c>
      <c r="K14" s="66" t="s">
        <v>372</v>
      </c>
      <c r="L14" s="23">
        <v>1</v>
      </c>
      <c r="M14" s="23">
        <v>1</v>
      </c>
      <c r="N14" s="23">
        <f t="shared" si="1"/>
        <v>1</v>
      </c>
      <c r="O14" s="89" t="str">
        <f>IF(AND(N14&gt;=0,N14&lt;=4),'[16]Calificación de Riesgos'!$H$10,IF(N14&lt;7,'[16]Calificación de Riesgos'!$H$9,IF(N14&lt;13,'[16]Calificación de Riesgos'!$H$8,IF(N14&lt;=25,'[16]Calificación de Riesgos'!$H$7))))</f>
        <v>BAJA</v>
      </c>
      <c r="P14" s="23" t="s">
        <v>7</v>
      </c>
      <c r="Q14" s="24" t="s">
        <v>373</v>
      </c>
      <c r="R14" s="21" t="s">
        <v>374</v>
      </c>
      <c r="S14" s="20">
        <v>43496</v>
      </c>
      <c r="T14" s="20">
        <v>43814</v>
      </c>
      <c r="U14" s="19" t="s">
        <v>367</v>
      </c>
      <c r="V14" s="24" t="s">
        <v>635</v>
      </c>
      <c r="W14" s="102" t="s">
        <v>636</v>
      </c>
      <c r="X14" s="120" t="s">
        <v>446</v>
      </c>
      <c r="Y14" s="120" t="s">
        <v>447</v>
      </c>
      <c r="Z14" s="18" t="s">
        <v>473</v>
      </c>
      <c r="AA14" s="18" t="s">
        <v>473</v>
      </c>
      <c r="AB14" s="18"/>
      <c r="AC14" s="18"/>
      <c r="AD14" s="18"/>
      <c r="AE14" s="18"/>
      <c r="AF14" s="18"/>
      <c r="AG14" s="18"/>
      <c r="AH14" s="18"/>
      <c r="AI14" s="18"/>
    </row>
    <row r="15" spans="1:35" s="17" customFormat="1" ht="180" customHeight="1" x14ac:dyDescent="0.25">
      <c r="A15" s="23">
        <v>4</v>
      </c>
      <c r="B15" s="22" t="str">
        <f>+[16]Identificacion!B7</f>
        <v xml:space="preserve">GESTION DE LA INVERSION MINERA </v>
      </c>
      <c r="C15" s="22" t="str">
        <f>+[16]Identificacion!C7</f>
        <v>Gestionar las actividades o mecanismos que contribuyan a la divulgación de las estrategias de Promoción de la Agencia Nacional de Minería (ANM), con el fin de promover la inversión en el sector minero colombiano.</v>
      </c>
      <c r="D15" s="22" t="str">
        <f>+[16]Identificacion!D7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8" t="str">
        <f>+[16]Identificacion!E7</f>
        <v xml:space="preserve">Deficiencias en la estructuración y desarrollo del proceso de selección objetiva para la adjudicación de Áreas Estratégicas Mineras   </v>
      </c>
      <c r="F15" s="18" t="str">
        <f>+[16]Identificacion!F7</f>
        <v>1. Baja participación de oferentes 
2. Incumplimiento del propósito para el cual se crearon las AEM
3. Deficiente ejecución del contrato de concesión
4. Detrimento de la imagen de la Entidad ante sus grupos de valor..</v>
      </c>
      <c r="G15" s="23">
        <f>+[16]Probabilidad!E17</f>
        <v>1</v>
      </c>
      <c r="H15" s="23">
        <f>+'[16]Impacto '!D9</f>
        <v>5</v>
      </c>
      <c r="I15" s="23">
        <f t="shared" si="0"/>
        <v>5</v>
      </c>
      <c r="J15" s="88" t="str">
        <f>IF(AND(I15&gt;=0,I15&lt;=1),'[16]Calificación de Riesgos'!$H$10,IF(I15&lt;2,'[16]Calificación de Riesgos'!$H$9,IF(I15&lt;3,'[16]Calificación de Riesgos'!$H$8,IF(I15&lt;=5,'[16]Calificación de Riesgos'!$H$7))))</f>
        <v>EXTREMA</v>
      </c>
      <c r="K15" s="66" t="s">
        <v>375</v>
      </c>
      <c r="L15" s="23">
        <v>1</v>
      </c>
      <c r="M15" s="23">
        <v>3</v>
      </c>
      <c r="N15" s="23">
        <f t="shared" si="1"/>
        <v>3</v>
      </c>
      <c r="O15" s="87" t="str">
        <f>+'[16]Calificación de Riesgos'!H9</f>
        <v>MODERADA</v>
      </c>
      <c r="P15" s="23" t="s">
        <v>7</v>
      </c>
      <c r="Q15" s="102" t="s">
        <v>376</v>
      </c>
      <c r="R15" s="21" t="s">
        <v>377</v>
      </c>
      <c r="S15" s="20">
        <v>43647</v>
      </c>
      <c r="T15" s="20">
        <v>43814</v>
      </c>
      <c r="U15" s="72" t="s">
        <v>378</v>
      </c>
      <c r="V15" s="96" t="s">
        <v>637</v>
      </c>
      <c r="W15" s="93" t="s">
        <v>638</v>
      </c>
      <c r="X15" s="120" t="s">
        <v>446</v>
      </c>
      <c r="Y15" s="120" t="s">
        <v>447</v>
      </c>
      <c r="Z15" s="18" t="s">
        <v>473</v>
      </c>
      <c r="AA15" s="18" t="s">
        <v>473</v>
      </c>
      <c r="AB15" s="18"/>
      <c r="AC15" s="18"/>
      <c r="AD15" s="18"/>
      <c r="AE15" s="18"/>
      <c r="AF15" s="18"/>
      <c r="AG15" s="18"/>
      <c r="AH15" s="18"/>
      <c r="AI15" s="18"/>
    </row>
  </sheetData>
  <mergeCells count="12">
    <mergeCell ref="AB9:AI10"/>
    <mergeCell ref="G10:J10"/>
    <mergeCell ref="L10:M10"/>
    <mergeCell ref="O10:P10"/>
    <mergeCell ref="B1:V2"/>
    <mergeCell ref="B3:V3"/>
    <mergeCell ref="A9:F10"/>
    <mergeCell ref="G9:J9"/>
    <mergeCell ref="L9:P9"/>
    <mergeCell ref="Q9:U10"/>
    <mergeCell ref="V9:AA10"/>
    <mergeCell ref="A4:AA8"/>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x14:cfRule>
          <x14:cfRule type="containsText" priority="9" operator="containsText" id="{2E713D1C-7AE1-4F4C-BD9C-3F51F117BE65}">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x14:cfRule>
          <x14:cfRule type="containsText" priority="4" operator="containsText" id="{83B13B7D-1C51-4B6A-980E-32F072633E5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77" zoomScaleNormal="77" workbookViewId="0">
      <selection sqref="A1:AA1"/>
    </sheetView>
  </sheetViews>
  <sheetFormatPr baseColWidth="10" defaultColWidth="11.42578125" defaultRowHeight="16.5" x14ac:dyDescent="0.3"/>
  <cols>
    <col min="1" max="1" width="11.42578125" style="14"/>
    <col min="2" max="2" width="19.28515625" style="16" customWidth="1"/>
    <col min="3" max="3" width="43.28515625" style="14" customWidth="1"/>
    <col min="4" max="4" width="46.85546875" style="14" customWidth="1"/>
    <col min="5" max="5" width="22.5703125" style="14" customWidth="1"/>
    <col min="6" max="6" width="46" style="14" customWidth="1"/>
    <col min="7" max="7" width="12.7109375" style="14" customWidth="1"/>
    <col min="8" max="8" width="11.5703125" style="14" customWidth="1"/>
    <col min="9" max="9" width="11.42578125" style="14"/>
    <col min="10" max="10" width="16.28515625" style="14" customWidth="1"/>
    <col min="11" max="11" width="46.5703125" style="14" customWidth="1"/>
    <col min="12" max="12" width="12" style="14" customWidth="1"/>
    <col min="13" max="14" width="10.42578125" style="14" customWidth="1"/>
    <col min="15" max="15" width="16.28515625" style="14" customWidth="1"/>
    <col min="16" max="16" width="14" style="14" customWidth="1"/>
    <col min="17" max="17" width="59.5703125" style="14" customWidth="1"/>
    <col min="18" max="18" width="49.140625" style="14" customWidth="1"/>
    <col min="19" max="19" width="16.28515625" style="14" customWidth="1"/>
    <col min="20" max="20" width="16.28515625" style="15" customWidth="1"/>
    <col min="21" max="21" width="24.28515625" style="15" customWidth="1"/>
    <col min="22" max="22" width="99.7109375" style="14" customWidth="1"/>
    <col min="23" max="23" width="46.85546875" style="14" customWidth="1"/>
    <col min="24" max="24" width="19.7109375" style="14" customWidth="1"/>
    <col min="25" max="25" width="19.28515625" style="14" customWidth="1"/>
    <col min="26" max="27" width="20.140625" style="14" customWidth="1"/>
    <col min="28" max="36" width="0" style="14" hidden="1" customWidth="1"/>
    <col min="37" max="16384" width="11.42578125" style="14"/>
  </cols>
  <sheetData>
    <row r="1" spans="1:35" ht="80.25" customHeight="1" x14ac:dyDescent="0.3">
      <c r="A1" s="178" t="s">
        <v>409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row>
    <row r="2" spans="1:35" s="25" customFormat="1" ht="28.5" customHeight="1" x14ac:dyDescent="0.3">
      <c r="A2" s="156" t="s">
        <v>59</v>
      </c>
      <c r="B2" s="156"/>
      <c r="C2" s="156"/>
      <c r="D2" s="156"/>
      <c r="E2" s="156"/>
      <c r="F2" s="156"/>
      <c r="G2" s="155" t="s">
        <v>58</v>
      </c>
      <c r="H2" s="155"/>
      <c r="I2" s="155"/>
      <c r="J2" s="155"/>
      <c r="K2" s="26" t="s">
        <v>57</v>
      </c>
      <c r="L2" s="156" t="s">
        <v>56</v>
      </c>
      <c r="M2" s="156"/>
      <c r="N2" s="156"/>
      <c r="O2" s="156"/>
      <c r="P2" s="156"/>
      <c r="Q2" s="156" t="s">
        <v>55</v>
      </c>
      <c r="R2" s="156"/>
      <c r="S2" s="156"/>
      <c r="T2" s="156"/>
      <c r="U2" s="156"/>
      <c r="V2" s="156" t="s">
        <v>54</v>
      </c>
      <c r="W2" s="156"/>
      <c r="X2" s="156"/>
      <c r="Y2" s="156"/>
      <c r="Z2" s="156"/>
      <c r="AA2" s="156"/>
      <c r="AB2" s="149" t="s">
        <v>53</v>
      </c>
      <c r="AC2" s="150"/>
      <c r="AD2" s="150"/>
      <c r="AE2" s="150"/>
      <c r="AF2" s="150"/>
      <c r="AG2" s="150"/>
      <c r="AH2" s="150"/>
      <c r="AI2" s="151"/>
    </row>
    <row r="3" spans="1:35" s="25" customFormat="1" ht="35.25" customHeight="1" x14ac:dyDescent="0.3">
      <c r="A3" s="156"/>
      <c r="B3" s="156"/>
      <c r="C3" s="156"/>
      <c r="D3" s="156"/>
      <c r="E3" s="156"/>
      <c r="F3" s="156"/>
      <c r="G3" s="155" t="s">
        <v>52</v>
      </c>
      <c r="H3" s="155"/>
      <c r="I3" s="155"/>
      <c r="J3" s="155"/>
      <c r="K3" s="26" t="s">
        <v>51</v>
      </c>
      <c r="L3" s="155" t="s">
        <v>50</v>
      </c>
      <c r="M3" s="155"/>
      <c r="N3" s="28"/>
      <c r="O3" s="155" t="s">
        <v>49</v>
      </c>
      <c r="P3" s="155"/>
      <c r="Q3" s="156"/>
      <c r="R3" s="156"/>
      <c r="S3" s="156"/>
      <c r="T3" s="156"/>
      <c r="U3" s="156"/>
      <c r="V3" s="156"/>
      <c r="W3" s="156"/>
      <c r="X3" s="156"/>
      <c r="Y3" s="156"/>
      <c r="Z3" s="156"/>
      <c r="AA3" s="156"/>
      <c r="AB3" s="152"/>
      <c r="AC3" s="153"/>
      <c r="AD3" s="153"/>
      <c r="AE3" s="153"/>
      <c r="AF3" s="153"/>
      <c r="AG3" s="153"/>
      <c r="AH3" s="153"/>
      <c r="AI3" s="154"/>
    </row>
    <row r="4" spans="1:35" s="25" customFormat="1" ht="59.25" customHeight="1" x14ac:dyDescent="0.3">
      <c r="A4" s="26" t="s">
        <v>48</v>
      </c>
      <c r="B4" s="26" t="s">
        <v>47</v>
      </c>
      <c r="C4" s="26" t="s">
        <v>46</v>
      </c>
      <c r="D4" s="26" t="s">
        <v>45</v>
      </c>
      <c r="E4" s="26" t="s">
        <v>44</v>
      </c>
      <c r="F4" s="26" t="s">
        <v>43</v>
      </c>
      <c r="G4" s="26" t="s">
        <v>39</v>
      </c>
      <c r="H4" s="26" t="s">
        <v>38</v>
      </c>
      <c r="I4" s="26" t="s">
        <v>42</v>
      </c>
      <c r="J4" s="26" t="s">
        <v>41</v>
      </c>
      <c r="K4" s="26" t="s">
        <v>40</v>
      </c>
      <c r="L4" s="26" t="s">
        <v>39</v>
      </c>
      <c r="M4" s="26" t="s">
        <v>38</v>
      </c>
      <c r="N4" s="26" t="s">
        <v>37</v>
      </c>
      <c r="O4" s="26" t="s">
        <v>36</v>
      </c>
      <c r="P4" s="26" t="s">
        <v>35</v>
      </c>
      <c r="Q4" s="26" t="s">
        <v>34</v>
      </c>
      <c r="R4" s="26" t="s">
        <v>33</v>
      </c>
      <c r="S4" s="26" t="s">
        <v>32</v>
      </c>
      <c r="T4" s="26" t="s">
        <v>31</v>
      </c>
      <c r="U4" s="26" t="s">
        <v>30</v>
      </c>
      <c r="V4" s="26" t="s">
        <v>29</v>
      </c>
      <c r="W4" s="26" t="s">
        <v>28</v>
      </c>
      <c r="X4" s="26" t="s">
        <v>27</v>
      </c>
      <c r="Y4" s="26" t="s">
        <v>23</v>
      </c>
      <c r="Z4" s="26" t="s">
        <v>22</v>
      </c>
      <c r="AA4" s="26" t="s">
        <v>21</v>
      </c>
      <c r="AB4" s="26" t="s">
        <v>26</v>
      </c>
      <c r="AC4" s="26" t="s">
        <v>25</v>
      </c>
      <c r="AD4" s="26" t="s">
        <v>24</v>
      </c>
      <c r="AE4" s="26" t="s">
        <v>23</v>
      </c>
      <c r="AF4" s="26" t="s">
        <v>22</v>
      </c>
      <c r="AG4" s="26" t="s">
        <v>21</v>
      </c>
      <c r="AH4" s="26" t="s">
        <v>20</v>
      </c>
      <c r="AI4" s="26" t="s">
        <v>19</v>
      </c>
    </row>
    <row r="5" spans="1:35" s="17" customFormat="1" ht="197.25" customHeight="1" x14ac:dyDescent="0.25">
      <c r="A5" s="103">
        <v>1</v>
      </c>
      <c r="B5" s="24" t="str">
        <f>+[17]Identificacion!B4</f>
        <v>DELIMITACIÓN Y DECLARACIÓN DE ÁREAS Y ZONAS DE INTERÉS</v>
      </c>
      <c r="C5" s="24" t="str">
        <f>+[17]Identificacion!C4</f>
        <v>Desarrollar proyectos y acciones orientados a optimizar el uso de los recursos minerales del país teniendo en cuenta los aspectos sociales y económicos</v>
      </c>
      <c r="D5" s="24" t="str">
        <f>+[17]Identificacion!D4</f>
        <v xml:space="preserve">Cambios permanentes y continuos de la información catastral </v>
      </c>
      <c r="E5" s="22" t="str">
        <f>+[17]Identificacion!E4</f>
        <v>Superposición de Áreas Estratégicas Mineras con áreas que no estén libres</v>
      </c>
      <c r="F5" s="22" t="str">
        <f>+[17]Identificacion!F4</f>
        <v>1. Inconsistencias en la delimitación de AEM 
2. Desgaste técnico y administrativo por parte de la ANM
3.Desmejoramiento de la imagen institucional</v>
      </c>
      <c r="G5" s="23">
        <f>+[17]Probabilidad!E14</f>
        <v>2</v>
      </c>
      <c r="H5" s="23">
        <f>+'[17]Impacto '!D6</f>
        <v>4</v>
      </c>
      <c r="I5" s="23">
        <f t="shared" ref="I5:I17" si="0">+G5*H5</f>
        <v>8</v>
      </c>
      <c r="J5" s="78" t="str">
        <f>IF(AND(I5&gt;=0,I5&lt;=4),'[17]Calificación de Riesgos'!$H$10,IF(I5&lt;7,'[17]Calificación de Riesgos'!$H$9,IF(I5&lt;13,'[17]Calificación de Riesgos'!$H$8,IF(I5&lt;=25,'[17]Calificación de Riesgos'!$H$7))))</f>
        <v>ALTA</v>
      </c>
      <c r="K5" s="18" t="str">
        <f>+[17]Identificacion!G4</f>
        <v>1. Verificación previa de información catastral antes de la delimitación 
2. Solicitud del certificado de área libre con oportunidad 
3. Realizar recortes en la delimitación de las AEM (En caso de superposición)</v>
      </c>
      <c r="L5" s="23">
        <v>1</v>
      </c>
      <c r="M5" s="23">
        <v>2</v>
      </c>
      <c r="N5" s="23">
        <f>+L5*M5</f>
        <v>2</v>
      </c>
      <c r="O5" s="89" t="str">
        <f>IF(AND(N5&gt;=0,N5&lt;=4),'[17]Calificación de Riesgos'!$H$10,IF(N5&lt;7,'[17]Calificación de Riesgos'!$H$9,IF(N5&lt;13,'[17]Calificación de Riesgos'!$H$8,IF(N5&lt;=25,'[17]Calificación de Riesgos'!$H$7))))</f>
        <v>BAJA</v>
      </c>
      <c r="P5" s="95" t="s">
        <v>7</v>
      </c>
      <c r="Q5" s="104" t="s">
        <v>380</v>
      </c>
      <c r="R5" s="105" t="s">
        <v>381</v>
      </c>
      <c r="S5" s="106">
        <v>43497</v>
      </c>
      <c r="T5" s="106">
        <v>43814</v>
      </c>
      <c r="U5" s="74" t="s">
        <v>367</v>
      </c>
      <c r="V5" s="132" t="s">
        <v>660</v>
      </c>
      <c r="W5" s="132" t="s">
        <v>639</v>
      </c>
      <c r="X5" s="132" t="s">
        <v>446</v>
      </c>
      <c r="Y5" s="126" t="s">
        <v>447</v>
      </c>
      <c r="Z5" s="126" t="s">
        <v>473</v>
      </c>
      <c r="AA5" s="126" t="s">
        <v>473</v>
      </c>
      <c r="AB5" s="18"/>
      <c r="AC5" s="18"/>
      <c r="AD5" s="18"/>
      <c r="AE5" s="18"/>
      <c r="AF5" s="18"/>
      <c r="AG5" s="18"/>
      <c r="AH5" s="18"/>
      <c r="AI5" s="18"/>
    </row>
    <row r="6" spans="1:35" s="17" customFormat="1" ht="66" customHeight="1" x14ac:dyDescent="0.25">
      <c r="A6" s="226">
        <f>+A5+1</f>
        <v>2</v>
      </c>
      <c r="B6" s="229" t="str">
        <f>+[17]Identificacion!B5</f>
        <v>DELIMITACIÓN Y DECLARACIÓN DE ÁREAS Y ZONAS DE INTERÉS</v>
      </c>
      <c r="C6" s="229" t="str">
        <f>+[17]Identificacion!C5</f>
        <v>Desarrollar proyectos y acciones orientados a optimizar el uso de los recursos minerales del país teniendo en cuenta los aspectos sociales y económicos</v>
      </c>
      <c r="D6" s="229" t="str">
        <f>+[17]Identificacion!D5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72" t="str">
        <f>+[17]Identificacion!E5</f>
        <v>Superposición de Áreas de Reserva Especial y Zonas Mineras de Comunidades Étnicas con áreas restringidas o prohibidas de minería.</v>
      </c>
      <c r="F6" s="172" t="str">
        <f>+[17]Identificacion!F5</f>
        <v>1. Desgaste técnico y administrativo por parte de la ANM.
2. Posibles demandas para la Entidad.</v>
      </c>
      <c r="G6" s="157">
        <f>+[17]Probabilidad!E15</f>
        <v>3</v>
      </c>
      <c r="H6" s="157">
        <f>+'[17]Impacto '!D7</f>
        <v>4</v>
      </c>
      <c r="I6" s="157">
        <f t="shared" si="0"/>
        <v>12</v>
      </c>
      <c r="J6" s="166" t="str">
        <f>IF(AND(I6&gt;=0,I6&lt;=4),'[17]Calificación de Riesgos'!$H$10,IF(I6&lt;7,'[17]Calificación de Riesgos'!$H$9,IF(I6&lt;12,'[17]Calificación de Riesgos'!$H$8,IF(I6&lt;=25,'[17]Calificación de Riesgos'!$H$7))))</f>
        <v>EXTREMA</v>
      </c>
      <c r="K6" s="235" t="str">
        <f>+[17]Identificacion!G5</f>
        <v>1. Reporte grafico y de superposiciones de la zona solicitada.</v>
      </c>
      <c r="L6" s="157">
        <v>1</v>
      </c>
      <c r="M6" s="157">
        <v>4</v>
      </c>
      <c r="N6" s="157">
        <f t="shared" ref="N6:N17" si="1">+L6*M6</f>
        <v>4</v>
      </c>
      <c r="O6" s="175" t="str">
        <f>IF(AND(N6&gt;=0,N6&lt;=2),'[17]Calificación de Riesgos'!$H$10,IF(N6&lt;4,'[17]Calificación de Riesgos'!$H$9,IF(N6&lt;13,'[17]Calificación de Riesgos'!$H$8,IF(N6&lt;=25,'[17]Calificación de Riesgos'!$H$7))))</f>
        <v>ALTA</v>
      </c>
      <c r="P6" s="232" t="s">
        <v>7</v>
      </c>
      <c r="Q6" s="22" t="s">
        <v>382</v>
      </c>
      <c r="R6" s="22" t="s">
        <v>383</v>
      </c>
      <c r="S6" s="83">
        <v>43496</v>
      </c>
      <c r="T6" s="98">
        <v>43814</v>
      </c>
      <c r="U6" s="18" t="s">
        <v>384</v>
      </c>
      <c r="V6" s="126" t="s">
        <v>646</v>
      </c>
      <c r="W6" s="102" t="s">
        <v>647</v>
      </c>
      <c r="X6" s="102" t="s">
        <v>446</v>
      </c>
      <c r="Y6" s="126" t="s">
        <v>447</v>
      </c>
      <c r="Z6" s="126" t="s">
        <v>473</v>
      </c>
      <c r="AA6" s="126" t="s">
        <v>473</v>
      </c>
      <c r="AB6" s="18"/>
      <c r="AC6" s="18"/>
      <c r="AD6" s="18"/>
      <c r="AE6" s="18"/>
      <c r="AF6" s="18"/>
      <c r="AG6" s="18"/>
      <c r="AH6" s="18"/>
      <c r="AI6" s="18"/>
    </row>
    <row r="7" spans="1:35" s="17" customFormat="1" ht="66" x14ac:dyDescent="0.25">
      <c r="A7" s="227"/>
      <c r="B7" s="230"/>
      <c r="C7" s="230"/>
      <c r="D7" s="230"/>
      <c r="E7" s="173"/>
      <c r="F7" s="173"/>
      <c r="G7" s="158"/>
      <c r="H7" s="158"/>
      <c r="I7" s="158"/>
      <c r="J7" s="167"/>
      <c r="K7" s="236"/>
      <c r="L7" s="158"/>
      <c r="M7" s="158"/>
      <c r="N7" s="158"/>
      <c r="O7" s="198"/>
      <c r="P7" s="233"/>
      <c r="Q7" s="22" t="s">
        <v>385</v>
      </c>
      <c r="R7" s="22" t="s">
        <v>383</v>
      </c>
      <c r="S7" s="83">
        <v>43496</v>
      </c>
      <c r="T7" s="98">
        <v>43814</v>
      </c>
      <c r="U7" s="18" t="s">
        <v>384</v>
      </c>
      <c r="V7" s="126" t="s">
        <v>648</v>
      </c>
      <c r="W7" s="102" t="s">
        <v>658</v>
      </c>
      <c r="X7" s="102" t="s">
        <v>446</v>
      </c>
      <c r="Y7" s="126" t="s">
        <v>447</v>
      </c>
      <c r="Z7" s="126" t="s">
        <v>473</v>
      </c>
      <c r="AA7" s="126" t="s">
        <v>473</v>
      </c>
      <c r="AB7" s="18"/>
      <c r="AC7" s="18"/>
      <c r="AD7" s="18"/>
      <c r="AE7" s="18"/>
      <c r="AF7" s="18"/>
      <c r="AG7" s="18"/>
      <c r="AH7" s="18"/>
      <c r="AI7" s="18"/>
    </row>
    <row r="8" spans="1:35" s="17" customFormat="1" ht="132" x14ac:dyDescent="0.25">
      <c r="A8" s="227"/>
      <c r="B8" s="230"/>
      <c r="C8" s="230"/>
      <c r="D8" s="230"/>
      <c r="E8" s="173"/>
      <c r="F8" s="173"/>
      <c r="G8" s="158"/>
      <c r="H8" s="158"/>
      <c r="I8" s="158"/>
      <c r="J8" s="167"/>
      <c r="K8" s="236"/>
      <c r="L8" s="158"/>
      <c r="M8" s="158"/>
      <c r="N8" s="158"/>
      <c r="O8" s="198"/>
      <c r="P8" s="233"/>
      <c r="Q8" s="22" t="s">
        <v>386</v>
      </c>
      <c r="R8" s="22" t="s">
        <v>383</v>
      </c>
      <c r="S8" s="83">
        <v>43496</v>
      </c>
      <c r="T8" s="98">
        <v>43814</v>
      </c>
      <c r="U8" s="18" t="s">
        <v>384</v>
      </c>
      <c r="V8" s="126" t="s">
        <v>649</v>
      </c>
      <c r="W8" s="102" t="s">
        <v>650</v>
      </c>
      <c r="X8" s="102" t="s">
        <v>446</v>
      </c>
      <c r="Y8" s="126" t="s">
        <v>447</v>
      </c>
      <c r="Z8" s="126" t="s">
        <v>473</v>
      </c>
      <c r="AA8" s="126" t="s">
        <v>473</v>
      </c>
      <c r="AB8" s="18"/>
      <c r="AC8" s="18"/>
      <c r="AD8" s="18"/>
      <c r="AE8" s="18"/>
      <c r="AF8" s="18"/>
      <c r="AG8" s="18"/>
      <c r="AH8" s="18"/>
      <c r="AI8" s="18"/>
    </row>
    <row r="9" spans="1:35" s="17" customFormat="1" ht="132" x14ac:dyDescent="0.25">
      <c r="A9" s="228"/>
      <c r="B9" s="231"/>
      <c r="C9" s="231"/>
      <c r="D9" s="231"/>
      <c r="E9" s="174"/>
      <c r="F9" s="174"/>
      <c r="G9" s="159"/>
      <c r="H9" s="159"/>
      <c r="I9" s="159"/>
      <c r="J9" s="168"/>
      <c r="K9" s="237"/>
      <c r="L9" s="159"/>
      <c r="M9" s="159"/>
      <c r="N9" s="159"/>
      <c r="O9" s="176"/>
      <c r="P9" s="234"/>
      <c r="Q9" s="22" t="s">
        <v>387</v>
      </c>
      <c r="R9" s="22" t="s">
        <v>383</v>
      </c>
      <c r="S9" s="83">
        <v>43496</v>
      </c>
      <c r="T9" s="98">
        <v>43814</v>
      </c>
      <c r="U9" s="18" t="s">
        <v>384</v>
      </c>
      <c r="V9" s="126" t="s">
        <v>651</v>
      </c>
      <c r="W9" s="102" t="s">
        <v>650</v>
      </c>
      <c r="X9" s="102" t="s">
        <v>446</v>
      </c>
      <c r="Y9" s="126" t="s">
        <v>447</v>
      </c>
      <c r="Z9" s="126" t="s">
        <v>473</v>
      </c>
      <c r="AA9" s="126" t="s">
        <v>473</v>
      </c>
      <c r="AB9" s="18"/>
      <c r="AC9" s="18"/>
      <c r="AD9" s="18"/>
      <c r="AE9" s="18"/>
      <c r="AF9" s="18"/>
      <c r="AG9" s="18"/>
      <c r="AH9" s="18"/>
      <c r="AI9" s="18"/>
    </row>
    <row r="10" spans="1:35" s="17" customFormat="1" ht="115.5" customHeight="1" x14ac:dyDescent="0.25">
      <c r="A10" s="226">
        <f>+A6+1</f>
        <v>3</v>
      </c>
      <c r="B10" s="229" t="str">
        <f>+[17]Identificacion!B6</f>
        <v>DELIMITACIÓN Y DECLARACIÓN DE ÁREAS Y ZONAS DE INTERÉS</v>
      </c>
      <c r="C10" s="229" t="str">
        <f>+[17]Identificacion!C6</f>
        <v>Desarrollar proyectos y acciones orientados a optimizar el uso de los recursos minerales del país teniendo en cuenta los aspectos sociales y económicos</v>
      </c>
      <c r="D10" s="229" t="str">
        <f>+[17]Identificacion!D6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72" t="str">
        <f>+[17]Identificacion!E6</f>
        <v xml:space="preserve">Interrupción y dilatación en el tiempo  del proceso de delimitación y declaración de AEM </v>
      </c>
      <c r="F10" s="172" t="str">
        <f>+[17]Identificacion!F6</f>
        <v>1. Desgaste técnico y administrativo por parte de la ANM
2. Desmejoramiento de la imagen institucional</v>
      </c>
      <c r="G10" s="157">
        <f>+[17]Probabilidad!E16</f>
        <v>3</v>
      </c>
      <c r="H10" s="157">
        <f>+'[17]Impacto '!D8</f>
        <v>3</v>
      </c>
      <c r="I10" s="157">
        <f t="shared" si="0"/>
        <v>9</v>
      </c>
      <c r="J10" s="175" t="str">
        <f>IF(AND(I10&gt;=0,I10&lt;=4),'[17]Calificación de Riesgos'!$H$10,IF(I10&lt;7,'[17]Calificación de Riesgos'!$H$9,IF(I10&lt;13,'[17]Calificación de Riesgos'!$H$8,IF(I10&lt;=25,'[17]Calificación de Riesgos'!$H$7))))</f>
        <v>ALTA</v>
      </c>
      <c r="K10" s="172" t="str">
        <f>+[17]Identificacion!G6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57">
        <v>1</v>
      </c>
      <c r="M10" s="157">
        <v>1</v>
      </c>
      <c r="N10" s="157">
        <f t="shared" si="1"/>
        <v>1</v>
      </c>
      <c r="O10" s="183" t="str">
        <f>IF(AND(N10&gt;=0,N10&lt;=4),'[17]Calificación de Riesgos'!$H$10,IF(N10&lt;7,'[17]Calificación de Riesgos'!$H$9,IF(N10&lt;13,'[17]Calificación de Riesgos'!$H$8,IF(N10&lt;=25,'[17]Calificación de Riesgos'!$H$7))))</f>
        <v>BAJA</v>
      </c>
      <c r="P10" s="157" t="s">
        <v>7</v>
      </c>
      <c r="Q10" s="67" t="s">
        <v>388</v>
      </c>
      <c r="R10" s="67" t="s">
        <v>389</v>
      </c>
      <c r="S10" s="107">
        <v>43496</v>
      </c>
      <c r="T10" s="107">
        <v>43814</v>
      </c>
      <c r="U10" s="18" t="s">
        <v>390</v>
      </c>
      <c r="V10" s="194" t="s">
        <v>661</v>
      </c>
      <c r="W10" s="102" t="s">
        <v>640</v>
      </c>
      <c r="X10" s="102" t="s">
        <v>446</v>
      </c>
      <c r="Y10" s="126" t="s">
        <v>447</v>
      </c>
      <c r="Z10" s="126" t="s">
        <v>473</v>
      </c>
      <c r="AA10" s="126" t="s">
        <v>473</v>
      </c>
      <c r="AB10" s="18"/>
      <c r="AC10" s="18"/>
      <c r="AD10" s="18"/>
      <c r="AE10" s="18"/>
      <c r="AF10" s="18"/>
      <c r="AG10" s="18"/>
      <c r="AH10" s="18"/>
      <c r="AI10" s="18"/>
    </row>
    <row r="11" spans="1:35" s="17" customFormat="1" ht="115.5" customHeight="1" x14ac:dyDescent="0.25">
      <c r="A11" s="228"/>
      <c r="B11" s="231"/>
      <c r="C11" s="231"/>
      <c r="D11" s="231"/>
      <c r="E11" s="174"/>
      <c r="F11" s="174"/>
      <c r="G11" s="159"/>
      <c r="H11" s="159"/>
      <c r="I11" s="159"/>
      <c r="J11" s="176"/>
      <c r="K11" s="174"/>
      <c r="L11" s="159"/>
      <c r="M11" s="159"/>
      <c r="N11" s="159"/>
      <c r="O11" s="184"/>
      <c r="P11" s="159"/>
      <c r="Q11" s="67" t="s">
        <v>391</v>
      </c>
      <c r="R11" s="67" t="s">
        <v>392</v>
      </c>
      <c r="S11" s="107">
        <v>43496</v>
      </c>
      <c r="T11" s="107">
        <v>43814</v>
      </c>
      <c r="U11" s="18" t="s">
        <v>390</v>
      </c>
      <c r="V11" s="196"/>
      <c r="W11" s="102" t="s">
        <v>641</v>
      </c>
      <c r="X11" s="102" t="s">
        <v>446</v>
      </c>
      <c r="Y11" s="126" t="s">
        <v>447</v>
      </c>
      <c r="Z11" s="126" t="s">
        <v>473</v>
      </c>
      <c r="AA11" s="126" t="s">
        <v>473</v>
      </c>
      <c r="AB11" s="18"/>
      <c r="AC11" s="18"/>
      <c r="AD11" s="18"/>
      <c r="AE11" s="18"/>
      <c r="AF11" s="18"/>
      <c r="AG11" s="18"/>
      <c r="AH11" s="18"/>
      <c r="AI11" s="18"/>
    </row>
    <row r="12" spans="1:35" s="17" customFormat="1" ht="115.5" customHeight="1" x14ac:dyDescent="0.25">
      <c r="A12" s="226">
        <f>+A10+1</f>
        <v>4</v>
      </c>
      <c r="B12" s="229" t="str">
        <f>+[17]Identificacion!B7</f>
        <v>DELIMITACIÓN Y DECLARACIÓN DE ÁREAS Y ZONAS DE INTERÉS</v>
      </c>
      <c r="C12" s="229" t="str">
        <f>+[17]Identificacion!C7</f>
        <v>Desarrollar proyectos y acciones orientados a optimizar el uso de los recursos minerales del país teniendo en cuenta los aspectos sociales y económicos</v>
      </c>
      <c r="D12" s="229" t="str">
        <f>+[17]Identificacion!D7</f>
        <v>1. Cambios normativos 
2. Situaciones de orden público o conflictividad social que afecten la realización de las actividades tendientes a la declaración de AREs.</v>
      </c>
      <c r="E12" s="172" t="str">
        <f>+[17]Identificacion!E7</f>
        <v>Imposibilidad de declarar el área de reserva especial y/o realizar seguimiento efectivo a las obligaciones de la comunidad minera.</v>
      </c>
      <c r="F12" s="172" t="str">
        <f>+[17]Identificacion!F7</f>
        <v>1. No legalización de mineros tradicionales.
2. Perdida material o de vidas humanas.
3. Afectación al medio ambiente.
4. Posibles demandas para la Entidad.</v>
      </c>
      <c r="G12" s="157">
        <f>+[17]Probabilidad!E17</f>
        <v>3</v>
      </c>
      <c r="H12" s="157">
        <f>+'[17]Impacto '!D9</f>
        <v>3</v>
      </c>
      <c r="I12" s="157">
        <f t="shared" si="0"/>
        <v>9</v>
      </c>
      <c r="J12" s="175" t="str">
        <f>IF(AND(I12&gt;=0,I12&lt;=4),'[17]Calificación de Riesgos'!$H$10,IF(I12&lt;7,'[17]Calificación de Riesgos'!$H$9,IF(I12&lt;13,'[17]Calificación de Riesgos'!$H$8,IF(I12&lt;=25,'[17]Calificación de Riesgos'!$H$7))))</f>
        <v>ALTA</v>
      </c>
      <c r="K12" s="238" t="str">
        <f>+[17]Identificacion!G7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57">
        <v>1</v>
      </c>
      <c r="M12" s="157">
        <v>3</v>
      </c>
      <c r="N12" s="157">
        <f t="shared" si="1"/>
        <v>3</v>
      </c>
      <c r="O12" s="183" t="str">
        <f>IF(AND(N12&gt;=0,N12&lt;=4),'[17]Calificación de Riesgos'!$H$10,IF(N12&lt;7,'[17]Calificación de Riesgos'!$H$9,IF(N12&lt;13,'[17]Calificación de Riesgos'!$H$8,IF(N12&lt;=25,'[17]Calificación de Riesgos'!$H$7))))</f>
        <v>BAJA</v>
      </c>
      <c r="P12" s="232" t="s">
        <v>7</v>
      </c>
      <c r="Q12" s="22" t="s">
        <v>393</v>
      </c>
      <c r="R12" s="22" t="s">
        <v>394</v>
      </c>
      <c r="S12" s="107">
        <v>43496</v>
      </c>
      <c r="T12" s="107">
        <v>43829</v>
      </c>
      <c r="U12" s="18" t="s">
        <v>384</v>
      </c>
      <c r="V12" s="102" t="s">
        <v>652</v>
      </c>
      <c r="W12" s="102" t="s">
        <v>659</v>
      </c>
      <c r="X12" s="102" t="s">
        <v>446</v>
      </c>
      <c r="Y12" s="126" t="s">
        <v>447</v>
      </c>
      <c r="Z12" s="126" t="s">
        <v>473</v>
      </c>
      <c r="AA12" s="126" t="s">
        <v>473</v>
      </c>
      <c r="AB12" s="18"/>
      <c r="AC12" s="18"/>
      <c r="AD12" s="18"/>
      <c r="AE12" s="18"/>
      <c r="AF12" s="18"/>
      <c r="AG12" s="18"/>
      <c r="AH12" s="18"/>
      <c r="AI12" s="18"/>
    </row>
    <row r="13" spans="1:35" s="17" customFormat="1" ht="115.5" customHeight="1" x14ac:dyDescent="0.25">
      <c r="A13" s="227"/>
      <c r="B13" s="230"/>
      <c r="C13" s="230"/>
      <c r="D13" s="230"/>
      <c r="E13" s="173"/>
      <c r="F13" s="173"/>
      <c r="G13" s="158"/>
      <c r="H13" s="158"/>
      <c r="I13" s="158"/>
      <c r="J13" s="198"/>
      <c r="K13" s="239"/>
      <c r="L13" s="158"/>
      <c r="M13" s="158"/>
      <c r="N13" s="158"/>
      <c r="O13" s="197"/>
      <c r="P13" s="233"/>
      <c r="Q13" s="22" t="s">
        <v>395</v>
      </c>
      <c r="R13" s="22" t="s">
        <v>396</v>
      </c>
      <c r="S13" s="107">
        <v>43496</v>
      </c>
      <c r="T13" s="107">
        <v>43829</v>
      </c>
      <c r="U13" s="18" t="s">
        <v>384</v>
      </c>
      <c r="V13" s="126" t="s">
        <v>653</v>
      </c>
      <c r="W13" s="102" t="s">
        <v>662</v>
      </c>
      <c r="X13" s="102" t="s">
        <v>446</v>
      </c>
      <c r="Y13" s="126" t="s">
        <v>447</v>
      </c>
      <c r="Z13" s="126" t="s">
        <v>473</v>
      </c>
      <c r="AA13" s="126" t="s">
        <v>473</v>
      </c>
      <c r="AB13" s="18"/>
      <c r="AC13" s="18"/>
      <c r="AD13" s="18"/>
      <c r="AE13" s="18"/>
      <c r="AF13" s="18"/>
      <c r="AG13" s="18"/>
      <c r="AH13" s="18"/>
      <c r="AI13" s="18"/>
    </row>
    <row r="14" spans="1:35" s="17" customFormat="1" ht="115.5" customHeight="1" x14ac:dyDescent="0.25">
      <c r="A14" s="228"/>
      <c r="B14" s="231"/>
      <c r="C14" s="231"/>
      <c r="D14" s="231"/>
      <c r="E14" s="174"/>
      <c r="F14" s="174"/>
      <c r="G14" s="159"/>
      <c r="H14" s="159"/>
      <c r="I14" s="159"/>
      <c r="J14" s="176"/>
      <c r="K14" s="240"/>
      <c r="L14" s="159"/>
      <c r="M14" s="159"/>
      <c r="N14" s="159"/>
      <c r="O14" s="184"/>
      <c r="P14" s="234"/>
      <c r="Q14" s="22" t="s">
        <v>397</v>
      </c>
      <c r="R14" s="22" t="s">
        <v>398</v>
      </c>
      <c r="S14" s="107">
        <v>43496</v>
      </c>
      <c r="T14" s="107">
        <v>43829</v>
      </c>
      <c r="U14" s="18" t="s">
        <v>384</v>
      </c>
      <c r="V14" s="102" t="s">
        <v>654</v>
      </c>
      <c r="W14" s="102" t="s">
        <v>655</v>
      </c>
      <c r="X14" s="126" t="s">
        <v>446</v>
      </c>
      <c r="Y14" s="126" t="s">
        <v>447</v>
      </c>
      <c r="Z14" s="126" t="s">
        <v>473</v>
      </c>
      <c r="AA14" s="126" t="s">
        <v>473</v>
      </c>
      <c r="AB14" s="18"/>
      <c r="AC14" s="18"/>
      <c r="AD14" s="18"/>
      <c r="AE14" s="18"/>
      <c r="AF14" s="18"/>
      <c r="AG14" s="18"/>
      <c r="AH14" s="18"/>
      <c r="AI14" s="18"/>
    </row>
    <row r="15" spans="1:35" s="17" customFormat="1" ht="115.5" customHeight="1" x14ac:dyDescent="0.25">
      <c r="A15" s="226">
        <f>+A12+1</f>
        <v>5</v>
      </c>
      <c r="B15" s="229" t="str">
        <f>+[17]Identificacion!B8</f>
        <v>DELIMITACIÓN Y DECLARACIÓN DE ÁREAS Y ZONAS DE INTERÉS</v>
      </c>
      <c r="C15" s="229" t="str">
        <f>+[17]Identificacion!C8</f>
        <v>Desarrollar proyectos y acciones orientados a optimizar el uso de los recursos minerales del país teniendo en cuenta los aspectos sociales y económicos</v>
      </c>
      <c r="D15" s="229" t="str">
        <f>+[17]Identificacion!D8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72" t="str">
        <f>+[17]Identificacion!E8</f>
        <v>Afectación de la extensión de las áreas estratégicas mineras delimitadas y declaradas.</v>
      </c>
      <c r="F15" s="172" t="str">
        <f>+[17]Identificacion!F8</f>
        <v>1. Desgaste técnico y administrativo por parte de la ANM.
2. Perdida de áreas con potencial para minerales estratégicos.
3. Suspensión del área estratégica minera.</v>
      </c>
      <c r="G15" s="157">
        <f>+[17]Probabilidad!E18</f>
        <v>3</v>
      </c>
      <c r="H15" s="157">
        <f>+'[17]Impacto '!D10</f>
        <v>4</v>
      </c>
      <c r="I15" s="157">
        <f t="shared" si="0"/>
        <v>12</v>
      </c>
      <c r="J15" s="166" t="str">
        <f>IF(AND(I15&gt;=0,I15&lt;=4),'[17]Calificación de Riesgos'!$H$10,IF(I15&lt;7,'[17]Calificación de Riesgos'!$H$9,IF(I15&lt;12,'[17]Calificación de Riesgos'!$H$8,IF(I15&lt;=25,'[17]Calificación de Riesgos'!$H$7))))</f>
        <v>EXTREMA</v>
      </c>
      <c r="K15" s="172" t="str">
        <f>+[17]Identificacion!G8</f>
        <v xml:space="preserve">1. Acercamiento con autoridades ambientales y/o judiciales 
2. Realizar ajustes en la delimitación de las AEM (cuando se presenten hechos jurídicos posteriores a la declaratoria de las AEM) </v>
      </c>
      <c r="L15" s="157">
        <v>2</v>
      </c>
      <c r="M15" s="157">
        <v>3</v>
      </c>
      <c r="N15" s="157">
        <f t="shared" si="1"/>
        <v>6</v>
      </c>
      <c r="O15" s="181" t="str">
        <f>IF(AND(N15&gt;=0,N15&lt;=4),'[17]Calificación de Riesgos'!$H$10,IF(N15&lt;7,'[17]Calificación de Riesgos'!$H$9,IF(N15&lt;13,'[17]Calificación de Riesgos'!$H$8,IF(N15&lt;=25,'[17]Calificación de Riesgos'!$H$7))))</f>
        <v>MODERADA</v>
      </c>
      <c r="P15" s="157" t="s">
        <v>7</v>
      </c>
      <c r="Q15" s="67" t="s">
        <v>399</v>
      </c>
      <c r="R15" s="67" t="s">
        <v>400</v>
      </c>
      <c r="S15" s="107">
        <v>43496</v>
      </c>
      <c r="T15" s="107">
        <v>43814</v>
      </c>
      <c r="U15" s="18" t="s">
        <v>367</v>
      </c>
      <c r="V15" s="102" t="s">
        <v>642</v>
      </c>
      <c r="W15" s="102" t="s">
        <v>642</v>
      </c>
      <c r="X15" s="131" t="s">
        <v>446</v>
      </c>
      <c r="Y15" s="126" t="s">
        <v>447</v>
      </c>
      <c r="Z15" s="126" t="s">
        <v>473</v>
      </c>
      <c r="AA15" s="126" t="s">
        <v>473</v>
      </c>
      <c r="AB15" s="18"/>
      <c r="AC15" s="18"/>
      <c r="AD15" s="18"/>
      <c r="AE15" s="18"/>
      <c r="AF15" s="18"/>
      <c r="AG15" s="18"/>
      <c r="AH15" s="18"/>
      <c r="AI15" s="18"/>
    </row>
    <row r="16" spans="1:35" s="17" customFormat="1" ht="115.5" customHeight="1" x14ac:dyDescent="0.25">
      <c r="A16" s="228"/>
      <c r="B16" s="231"/>
      <c r="C16" s="231"/>
      <c r="D16" s="231"/>
      <c r="E16" s="174"/>
      <c r="F16" s="174"/>
      <c r="G16" s="159"/>
      <c r="H16" s="159"/>
      <c r="I16" s="159"/>
      <c r="J16" s="168"/>
      <c r="K16" s="174"/>
      <c r="L16" s="159"/>
      <c r="M16" s="159"/>
      <c r="N16" s="159"/>
      <c r="O16" s="182"/>
      <c r="P16" s="159"/>
      <c r="Q16" s="67" t="s">
        <v>401</v>
      </c>
      <c r="R16" s="67" t="s">
        <v>402</v>
      </c>
      <c r="S16" s="107">
        <v>43496</v>
      </c>
      <c r="T16" s="107">
        <v>43814</v>
      </c>
      <c r="U16" s="18" t="s">
        <v>367</v>
      </c>
      <c r="V16" s="102" t="s">
        <v>643</v>
      </c>
      <c r="W16" s="102" t="s">
        <v>644</v>
      </c>
      <c r="X16" s="131" t="s">
        <v>645</v>
      </c>
      <c r="Y16" s="126" t="s">
        <v>447</v>
      </c>
      <c r="Z16" s="126" t="s">
        <v>473</v>
      </c>
      <c r="AA16" s="126" t="s">
        <v>473</v>
      </c>
      <c r="AB16" s="18"/>
      <c r="AC16" s="18"/>
      <c r="AD16" s="18"/>
      <c r="AE16" s="18"/>
      <c r="AF16" s="18"/>
      <c r="AG16" s="18"/>
      <c r="AH16" s="18"/>
      <c r="AI16" s="18"/>
    </row>
    <row r="17" spans="1:35" s="17" customFormat="1" ht="115.5" customHeight="1" x14ac:dyDescent="0.25">
      <c r="A17" s="241">
        <f t="shared" ref="A17" si="2">+A15+1</f>
        <v>6</v>
      </c>
      <c r="B17" s="229" t="str">
        <f>+[17]Identificacion!B9</f>
        <v>DELIMITACIÓN Y DECLARACIÓN DE ÁREAS Y ZONAS DE INTERÉS</v>
      </c>
      <c r="C17" s="229" t="str">
        <f>+[17]Identificacion!C9</f>
        <v>Desarrollar proyectos y acciones orientados a optimizar el uso de los recursos minerales del país teniendo en cuenta los aspectos sociales y económicos</v>
      </c>
      <c r="D17" s="229" t="str">
        <f>+[17]Identificacion!D9</f>
        <v>1. Falta de identificación del territorio de comunidades étnicas.</v>
      </c>
      <c r="E17" s="172" t="str">
        <f>+[17]Identificacion!E9</f>
        <v xml:space="preserve">Imposibilidad de establecer la zona minera para comunidades étnicas </v>
      </c>
      <c r="F17" s="172" t="str">
        <f>+[17]Identificacion!F9</f>
        <v>1. Las comunidades étnicas no pueden ejercer su derecho de prelación.
2. Posibles demandas a la Entidad.
3. Congestión de trámites</v>
      </c>
      <c r="G17" s="191">
        <f>+[17]Probabilidad!E19</f>
        <v>3</v>
      </c>
      <c r="H17" s="191">
        <f>+'[17]Impacto '!D11</f>
        <v>3</v>
      </c>
      <c r="I17" s="191">
        <f t="shared" si="0"/>
        <v>9</v>
      </c>
      <c r="J17" s="219" t="str">
        <f>IF(AND(I17&gt;=0,I17&lt;=4),'[17]Calificación de Riesgos'!$H$10,IF(I17&lt;7,'[17]Calificación de Riesgos'!$H$9,IF(I17&lt;13,'[17]Calificación de Riesgos'!$H$8,IF(I17&lt;=25,'[17]Calificación de Riesgos'!$H$7))))</f>
        <v>ALTA</v>
      </c>
      <c r="K17" s="172" t="str">
        <f>+[17]Identificacion!G9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91">
        <v>1</v>
      </c>
      <c r="M17" s="191">
        <v>3</v>
      </c>
      <c r="N17" s="191">
        <f t="shared" si="1"/>
        <v>3</v>
      </c>
      <c r="O17" s="242" t="str">
        <f>IF(AND(N17&gt;=0,N17&lt;=4),'[17]Calificación de Riesgos'!$H$10,IF(N17&lt;7,'[17]Calificación de Riesgos'!$H$9,IF(N17&lt;13,'[17]Calificación de Riesgos'!$H$8,IF(N17&lt;=25,'[17]Calificación de Riesgos'!$H$7))))</f>
        <v>BAJA</v>
      </c>
      <c r="P17" s="243" t="s">
        <v>7</v>
      </c>
      <c r="Q17" s="22" t="s">
        <v>403</v>
      </c>
      <c r="R17" s="22" t="s">
        <v>404</v>
      </c>
      <c r="S17" s="107">
        <v>43496</v>
      </c>
      <c r="T17" s="107">
        <v>43829</v>
      </c>
      <c r="U17" s="18" t="s">
        <v>384</v>
      </c>
      <c r="V17" s="126" t="s">
        <v>656</v>
      </c>
      <c r="W17" s="126" t="s">
        <v>656</v>
      </c>
      <c r="X17" s="131" t="s">
        <v>446</v>
      </c>
      <c r="Y17" s="126" t="s">
        <v>447</v>
      </c>
      <c r="Z17" s="126" t="s">
        <v>473</v>
      </c>
      <c r="AA17" s="126" t="s">
        <v>473</v>
      </c>
      <c r="AB17" s="18"/>
      <c r="AC17" s="18"/>
      <c r="AD17" s="18"/>
      <c r="AE17" s="18"/>
      <c r="AF17" s="18"/>
      <c r="AG17" s="18"/>
      <c r="AH17" s="18"/>
      <c r="AI17" s="18"/>
    </row>
    <row r="18" spans="1:35" ht="33" x14ac:dyDescent="0.3">
      <c r="A18" s="241"/>
      <c r="B18" s="230"/>
      <c r="C18" s="230"/>
      <c r="D18" s="230"/>
      <c r="E18" s="173"/>
      <c r="F18" s="173"/>
      <c r="G18" s="191"/>
      <c r="H18" s="191"/>
      <c r="I18" s="191"/>
      <c r="J18" s="219"/>
      <c r="K18" s="173"/>
      <c r="L18" s="191"/>
      <c r="M18" s="191"/>
      <c r="N18" s="191"/>
      <c r="O18" s="242"/>
      <c r="P18" s="243"/>
      <c r="Q18" s="108" t="s">
        <v>405</v>
      </c>
      <c r="R18" s="18" t="s">
        <v>406</v>
      </c>
      <c r="S18" s="107">
        <v>43496</v>
      </c>
      <c r="T18" s="107">
        <v>43829</v>
      </c>
      <c r="U18" s="18" t="s">
        <v>384</v>
      </c>
      <c r="V18" s="102" t="s">
        <v>657</v>
      </c>
      <c r="W18" s="102" t="s">
        <v>657</v>
      </c>
      <c r="X18" s="131" t="s">
        <v>446</v>
      </c>
      <c r="Y18" s="126" t="s">
        <v>447</v>
      </c>
      <c r="Z18" s="126" t="s">
        <v>473</v>
      </c>
      <c r="AA18" s="126" t="s">
        <v>473</v>
      </c>
      <c r="AB18" s="77"/>
      <c r="AC18" s="77"/>
      <c r="AD18" s="77"/>
      <c r="AE18" s="77"/>
      <c r="AF18" s="77"/>
      <c r="AG18" s="77"/>
      <c r="AH18" s="77"/>
      <c r="AI18" s="77"/>
    </row>
    <row r="19" spans="1:35" x14ac:dyDescent="0.3">
      <c r="A19" s="241"/>
      <c r="B19" s="231"/>
      <c r="C19" s="231"/>
      <c r="D19" s="231"/>
      <c r="E19" s="174"/>
      <c r="F19" s="174"/>
      <c r="G19" s="191"/>
      <c r="H19" s="191"/>
      <c r="I19" s="191"/>
      <c r="J19" s="219"/>
      <c r="K19" s="174"/>
      <c r="L19" s="191"/>
      <c r="M19" s="191"/>
      <c r="N19" s="191"/>
      <c r="O19" s="242"/>
      <c r="P19" s="243"/>
      <c r="Q19" s="77" t="s">
        <v>407</v>
      </c>
      <c r="R19" s="18" t="s">
        <v>408</v>
      </c>
      <c r="S19" s="107">
        <v>43496</v>
      </c>
      <c r="T19" s="107">
        <v>43829</v>
      </c>
      <c r="U19" s="18" t="s">
        <v>384</v>
      </c>
      <c r="V19" s="102" t="s">
        <v>657</v>
      </c>
      <c r="W19" s="102" t="s">
        <v>657</v>
      </c>
      <c r="X19" s="131" t="s">
        <v>446</v>
      </c>
      <c r="Y19" s="126" t="s">
        <v>447</v>
      </c>
      <c r="Z19" s="126" t="s">
        <v>473</v>
      </c>
      <c r="AA19" s="126" t="s">
        <v>473</v>
      </c>
      <c r="AB19" s="77"/>
      <c r="AC19" s="77"/>
      <c r="AD19" s="77"/>
      <c r="AE19" s="77"/>
      <c r="AF19" s="77"/>
      <c r="AG19" s="77"/>
      <c r="AH19" s="77"/>
      <c r="AI19" s="77"/>
    </row>
  </sheetData>
  <mergeCells count="91">
    <mergeCell ref="P15:P16"/>
    <mergeCell ref="A17:A19"/>
    <mergeCell ref="M17:M19"/>
    <mergeCell ref="N17:N19"/>
    <mergeCell ref="O17:O19"/>
    <mergeCell ref="P17:P19"/>
    <mergeCell ref="G17:G19"/>
    <mergeCell ref="H17:H19"/>
    <mergeCell ref="I17:I19"/>
    <mergeCell ref="J17:J19"/>
    <mergeCell ref="K17:K19"/>
    <mergeCell ref="L17:L19"/>
    <mergeCell ref="B17:B19"/>
    <mergeCell ref="C17:C19"/>
    <mergeCell ref="D17:D19"/>
    <mergeCell ref="E17:E19"/>
    <mergeCell ref="F17:F19"/>
    <mergeCell ref="A15:A16"/>
    <mergeCell ref="B15:B16"/>
    <mergeCell ref="C15:C16"/>
    <mergeCell ref="D15:D16"/>
    <mergeCell ref="E15:E16"/>
    <mergeCell ref="F15:F16"/>
    <mergeCell ref="L15:L16"/>
    <mergeCell ref="M12:M14"/>
    <mergeCell ref="N12:N14"/>
    <mergeCell ref="O12:O14"/>
    <mergeCell ref="K10:K11"/>
    <mergeCell ref="L10:L11"/>
    <mergeCell ref="K12:K14"/>
    <mergeCell ref="L12:L14"/>
    <mergeCell ref="M10:M11"/>
    <mergeCell ref="K15:K16"/>
    <mergeCell ref="M15:M16"/>
    <mergeCell ref="N15:N16"/>
    <mergeCell ref="O15:O16"/>
    <mergeCell ref="G12:G14"/>
    <mergeCell ref="H12:H14"/>
    <mergeCell ref="I12:I14"/>
    <mergeCell ref="J12:J14"/>
    <mergeCell ref="G15:G16"/>
    <mergeCell ref="H15:H16"/>
    <mergeCell ref="I15:I16"/>
    <mergeCell ref="J15:J16"/>
    <mergeCell ref="K6:K9"/>
    <mergeCell ref="L6:L9"/>
    <mergeCell ref="P10:P11"/>
    <mergeCell ref="A12:A14"/>
    <mergeCell ref="B12:B14"/>
    <mergeCell ref="C12:C14"/>
    <mergeCell ref="D12:D14"/>
    <mergeCell ref="E12:E14"/>
    <mergeCell ref="F12:F14"/>
    <mergeCell ref="G10:G11"/>
    <mergeCell ref="H10:H11"/>
    <mergeCell ref="I10:I11"/>
    <mergeCell ref="J10:J11"/>
    <mergeCell ref="N10:N11"/>
    <mergeCell ref="O10:O11"/>
    <mergeCell ref="P12:P14"/>
    <mergeCell ref="F10:F11"/>
    <mergeCell ref="G6:G9"/>
    <mergeCell ref="H6:H9"/>
    <mergeCell ref="I6:I9"/>
    <mergeCell ref="J6:J9"/>
    <mergeCell ref="A10:A11"/>
    <mergeCell ref="B10:B11"/>
    <mergeCell ref="C10:C11"/>
    <mergeCell ref="D10:D11"/>
    <mergeCell ref="E10:E11"/>
    <mergeCell ref="V2:AA3"/>
    <mergeCell ref="M6:M9"/>
    <mergeCell ref="N6:N9"/>
    <mergeCell ref="O6:O9"/>
    <mergeCell ref="P6:P9"/>
    <mergeCell ref="V10:V11"/>
    <mergeCell ref="A1:AA1"/>
    <mergeCell ref="AB2:AI3"/>
    <mergeCell ref="G3:J3"/>
    <mergeCell ref="L3:M3"/>
    <mergeCell ref="O3:P3"/>
    <mergeCell ref="A6:A9"/>
    <mergeCell ref="B6:B9"/>
    <mergeCell ref="C6:C9"/>
    <mergeCell ref="D6:D9"/>
    <mergeCell ref="E6:E9"/>
    <mergeCell ref="F6:F9"/>
    <mergeCell ref="A2:F3"/>
    <mergeCell ref="G2:J2"/>
    <mergeCell ref="L2:P2"/>
    <mergeCell ref="Q2:U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x14:cfRule>
          <x14:cfRule type="containsText" priority="4" operator="containsText" id="{44F6795D-91C5-4374-847D-08FBD7F6EEEC}">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9" zoomScaleNormal="89" workbookViewId="0">
      <selection sqref="A1:AA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19.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1.28515625" style="14" customWidth="1"/>
    <col min="20" max="20" width="13.42578125" style="15" customWidth="1"/>
    <col min="21" max="21" width="14.5703125" style="15" customWidth="1"/>
    <col min="22" max="22" width="28.85546875" style="14" customWidth="1"/>
    <col min="23" max="23" width="26.5703125" style="14" customWidth="1"/>
    <col min="24" max="27" width="15.5703125" style="14" customWidth="1"/>
    <col min="28" max="36" width="0" style="14" hidden="1" customWidth="1"/>
    <col min="37" max="16384" width="11.42578125" style="14"/>
  </cols>
  <sheetData>
    <row r="1" spans="1:35" ht="16.5" customHeight="1" x14ac:dyDescent="0.3">
      <c r="A1" s="177" t="s">
        <v>414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45.75"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97.5" customHeight="1" x14ac:dyDescent="0.25">
      <c r="A9" s="23">
        <v>1</v>
      </c>
      <c r="B9" s="22" t="str">
        <f>+[18]Identificacion!B4</f>
        <v>GESTIÓN INTEGRAL DE LAS COMUNICACIONES Y RELACIONAMIENTO</v>
      </c>
      <c r="C9" s="22" t="str">
        <f>+[18]Identificacion!C4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2" t="str">
        <f>+[18]Identificacion!D4</f>
        <v>No verificación de fuente técnica</v>
      </c>
      <c r="E9" s="18" t="str">
        <f>+[18]Identificacion!E4</f>
        <v xml:space="preserve">Difundir comunicación errónea o incompleta </v>
      </c>
      <c r="F9" s="18" t="str">
        <f>+[18]Identificacion!F4</f>
        <v>1. Afectación de la imagen institucional.
2. Pérdida de credibilidad con el cliente interno.</v>
      </c>
      <c r="G9" s="23">
        <f>+[18]Probabilidad!E14</f>
        <v>4</v>
      </c>
      <c r="H9" s="23">
        <f>+'[18]Impacto '!D6</f>
        <v>4</v>
      </c>
      <c r="I9" s="23">
        <f t="shared" ref="I9" si="0">+G9*H9</f>
        <v>16</v>
      </c>
      <c r="J9" s="88" t="str">
        <f>IF(AND(I9&gt;=0,I9&lt;=4),'[18]Calificación de Riesgos'!$H$10,IF(I9&lt;7,'[18]Calificación de Riesgos'!$H$9,IF(I9&lt;13,'[18]Calificación de Riesgos'!$H$8,IF(I9&lt;=25,'[18]Calificación de Riesgos'!$H$7))))</f>
        <v>EXTREMA</v>
      </c>
      <c r="K9" s="18" t="s">
        <v>410</v>
      </c>
      <c r="L9" s="23">
        <v>2</v>
      </c>
      <c r="M9" s="23">
        <v>4</v>
      </c>
      <c r="N9" s="23">
        <f>+L9*M9</f>
        <v>8</v>
      </c>
      <c r="O9" s="78" t="str">
        <f>IF(AND(N9&gt;=0,N9&lt;=4),'[18]Calificación de Riesgos'!$H$10,IF(N9&lt;7,'[18]Calificación de Riesgos'!$H$9,IF(N9&lt;13,'[18]Calificación de Riesgos'!$H$8,IF(N9&lt;=25,'[18]Calificación de Riesgos'!$H$7))))</f>
        <v>ALTA</v>
      </c>
      <c r="P9" s="18" t="s">
        <v>93</v>
      </c>
      <c r="Q9" s="66" t="s">
        <v>411</v>
      </c>
      <c r="R9" s="66" t="s">
        <v>412</v>
      </c>
      <c r="S9" s="109">
        <v>43466</v>
      </c>
      <c r="T9" s="109">
        <v>43830</v>
      </c>
      <c r="U9" s="18" t="s">
        <v>413</v>
      </c>
      <c r="V9" s="18" t="s">
        <v>663</v>
      </c>
      <c r="W9" s="18" t="s">
        <v>664</v>
      </c>
      <c r="X9" s="18" t="s">
        <v>446</v>
      </c>
      <c r="Y9" s="18" t="s">
        <v>468</v>
      </c>
      <c r="Z9" s="18" t="s">
        <v>473</v>
      </c>
      <c r="AA9" s="18" t="s">
        <v>473</v>
      </c>
      <c r="AB9" s="18"/>
      <c r="AC9" s="18"/>
      <c r="AD9" s="18"/>
      <c r="AE9" s="18"/>
      <c r="AF9" s="18"/>
      <c r="AG9" s="18"/>
      <c r="AH9" s="18"/>
      <c r="AI9"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BE4F636-4811-4543-B266-198628363461}">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BEDA8B38-36D9-45F2-BDF9-D82AF161F798}">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H27" sqref="H27"/>
    </sheetView>
  </sheetViews>
  <sheetFormatPr baseColWidth="10" defaultColWidth="0" defaultRowHeight="12.75" zeroHeight="1" x14ac:dyDescent="0.25"/>
  <cols>
    <col min="1" max="1" width="2.7109375" style="30" customWidth="1"/>
    <col min="2" max="2" width="12.5703125" style="30" customWidth="1"/>
    <col min="3" max="3" width="10.85546875" style="30" customWidth="1"/>
    <col min="4" max="4" width="9" style="30" bestFit="1" customWidth="1"/>
    <col min="5" max="5" width="13" style="30" bestFit="1" customWidth="1"/>
    <col min="6" max="6" width="4.140625" style="30" customWidth="1"/>
    <col min="7" max="7" width="19.5703125" style="30" customWidth="1"/>
    <col min="8" max="8" width="18.140625" style="30" customWidth="1"/>
    <col min="9" max="9" width="17.7109375" style="30" customWidth="1"/>
    <col min="10" max="11" width="16.42578125" style="30" customWidth="1"/>
    <col min="12" max="12" width="6.28515625" style="30" customWidth="1"/>
    <col min="13" max="13" width="9" style="30" bestFit="1" customWidth="1"/>
    <col min="14" max="14" width="12" style="30" bestFit="1" customWidth="1"/>
    <col min="15" max="15" width="5.28515625" style="30" customWidth="1"/>
    <col min="16" max="16" width="14" style="30" bestFit="1" customWidth="1"/>
    <col min="17" max="17" width="13.42578125" style="30" customWidth="1"/>
    <col min="18" max="18" width="13.7109375" style="30" customWidth="1"/>
    <col min="19" max="19" width="14.42578125" style="30" customWidth="1"/>
    <col min="20" max="20" width="14" style="30" bestFit="1" customWidth="1"/>
    <col min="21" max="21" width="9.7109375" style="30" customWidth="1"/>
    <col min="22" max="23" width="34.85546875" style="30" hidden="1" customWidth="1"/>
    <col min="24" max="16384" width="11.42578125" style="30" hidden="1"/>
  </cols>
  <sheetData>
    <row r="1" spans="2:20" x14ac:dyDescent="0.25"/>
    <row r="2" spans="2:20" x14ac:dyDescent="0.25"/>
    <row r="3" spans="2:20" x14ac:dyDescent="0.25"/>
    <row r="4" spans="2:20" x14ac:dyDescent="0.25"/>
    <row r="5" spans="2:20" x14ac:dyDescent="0.25"/>
    <row r="6" spans="2:20" ht="31.5" x14ac:dyDescent="0.25">
      <c r="H6" s="31" t="s">
        <v>60</v>
      </c>
      <c r="I6" s="32" t="s">
        <v>61</v>
      </c>
    </row>
    <row r="7" spans="2:20" ht="15.75" x14ac:dyDescent="0.25">
      <c r="H7" s="33" t="s">
        <v>62</v>
      </c>
      <c r="I7" s="34" t="s">
        <v>63</v>
      </c>
    </row>
    <row r="8" spans="2:20" ht="15.75" x14ac:dyDescent="0.25">
      <c r="H8" s="35" t="s">
        <v>64</v>
      </c>
      <c r="I8" s="36" t="s">
        <v>65</v>
      </c>
    </row>
    <row r="9" spans="2:20" ht="15.75" x14ac:dyDescent="0.25">
      <c r="H9" s="37" t="s">
        <v>66</v>
      </c>
      <c r="I9" s="38" t="s">
        <v>67</v>
      </c>
    </row>
    <row r="10" spans="2:20" ht="16.5" thickBot="1" x14ac:dyDescent="0.3">
      <c r="H10" s="39" t="s">
        <v>68</v>
      </c>
      <c r="I10" s="40" t="s">
        <v>69</v>
      </c>
    </row>
    <row r="11" spans="2:20" ht="13.5" thickBot="1" x14ac:dyDescent="0.3">
      <c r="H11" s="41" t="s">
        <v>70</v>
      </c>
      <c r="I11" s="42"/>
    </row>
    <row r="12" spans="2:20" x14ac:dyDescent="0.25">
      <c r="L12" s="43"/>
    </row>
    <row r="13" spans="2:20" ht="18.75" thickBot="1" x14ac:dyDescent="0.3">
      <c r="B13" s="44" t="s">
        <v>71</v>
      </c>
      <c r="C13" s="44" t="s">
        <v>72</v>
      </c>
      <c r="D13" s="45" t="s">
        <v>73</v>
      </c>
      <c r="E13" s="247" t="s">
        <v>74</v>
      </c>
      <c r="F13" s="247"/>
      <c r="G13" s="247"/>
      <c r="H13" s="247"/>
      <c r="I13" s="248"/>
      <c r="J13" s="248"/>
      <c r="K13" s="248"/>
      <c r="M13" s="45" t="s">
        <v>73</v>
      </c>
      <c r="N13" s="249" t="s">
        <v>75</v>
      </c>
      <c r="O13" s="250"/>
      <c r="P13" s="250"/>
      <c r="Q13" s="250"/>
      <c r="R13" s="250"/>
      <c r="S13" s="250"/>
      <c r="T13" s="251"/>
    </row>
    <row r="14" spans="2:20" ht="38.25" x14ac:dyDescent="0.25">
      <c r="B14" s="46">
        <v>0.5</v>
      </c>
      <c r="C14" s="46">
        <v>1</v>
      </c>
      <c r="D14" s="45">
        <v>5</v>
      </c>
      <c r="E14" s="47" t="s">
        <v>76</v>
      </c>
      <c r="F14" s="252" t="s">
        <v>77</v>
      </c>
      <c r="G14" s="48">
        <f>D14*G20</f>
        <v>5</v>
      </c>
      <c r="H14" s="48">
        <f>D14*H20</f>
        <v>10</v>
      </c>
      <c r="I14" s="49">
        <f>D14*I20</f>
        <v>15</v>
      </c>
      <c r="J14" s="50">
        <f>D14*J20</f>
        <v>20</v>
      </c>
      <c r="K14" s="51">
        <f>D14*K20</f>
        <v>25</v>
      </c>
      <c r="M14" s="45">
        <v>5</v>
      </c>
      <c r="N14" s="47" t="s">
        <v>76</v>
      </c>
      <c r="O14" s="255" t="s">
        <v>77</v>
      </c>
      <c r="P14" s="52" t="s">
        <v>78</v>
      </c>
      <c r="Q14" s="52" t="s">
        <v>78</v>
      </c>
      <c r="R14" s="53" t="s">
        <v>78</v>
      </c>
      <c r="S14" s="53" t="s">
        <v>78</v>
      </c>
      <c r="T14" s="53" t="s">
        <v>78</v>
      </c>
    </row>
    <row r="15" spans="2:20" ht="38.25" x14ac:dyDescent="0.25">
      <c r="B15" s="46">
        <v>0.3</v>
      </c>
      <c r="C15" s="46">
        <v>0.5</v>
      </c>
      <c r="D15" s="45">
        <v>4</v>
      </c>
      <c r="E15" s="47" t="s">
        <v>79</v>
      </c>
      <c r="F15" s="253"/>
      <c r="G15" s="54">
        <f>D15*G20</f>
        <v>4</v>
      </c>
      <c r="H15" s="48">
        <f>D15*H20</f>
        <v>8</v>
      </c>
      <c r="I15" s="55">
        <f>D15*I20</f>
        <v>12</v>
      </c>
      <c r="J15" s="56">
        <f>D15*J20</f>
        <v>16</v>
      </c>
      <c r="K15" s="57">
        <f>D15*K20</f>
        <v>20</v>
      </c>
      <c r="M15" s="45">
        <v>4</v>
      </c>
      <c r="N15" s="47" t="s">
        <v>79</v>
      </c>
      <c r="O15" s="256"/>
      <c r="P15" s="58" t="s">
        <v>80</v>
      </c>
      <c r="Q15" s="52" t="s">
        <v>81</v>
      </c>
      <c r="R15" s="52" t="s">
        <v>78</v>
      </c>
      <c r="S15" s="53" t="s">
        <v>78</v>
      </c>
      <c r="T15" s="53" t="s">
        <v>78</v>
      </c>
    </row>
    <row r="16" spans="2:20" ht="38.25" x14ac:dyDescent="0.25">
      <c r="B16" s="46">
        <v>0.1</v>
      </c>
      <c r="C16" s="46">
        <v>0.3</v>
      </c>
      <c r="D16" s="45">
        <v>3</v>
      </c>
      <c r="E16" s="47" t="s">
        <v>82</v>
      </c>
      <c r="F16" s="253"/>
      <c r="G16" s="59">
        <f>D16*G20</f>
        <v>3</v>
      </c>
      <c r="H16" s="60">
        <f>D16*H20</f>
        <v>6</v>
      </c>
      <c r="I16" s="55">
        <f>D16*I20</f>
        <v>9</v>
      </c>
      <c r="J16" s="56">
        <f>D16*J20</f>
        <v>12</v>
      </c>
      <c r="K16" s="57">
        <f>D16*K20</f>
        <v>15</v>
      </c>
      <c r="M16" s="45">
        <v>3</v>
      </c>
      <c r="N16" s="47" t="s">
        <v>82</v>
      </c>
      <c r="O16" s="256"/>
      <c r="P16" s="61" t="s">
        <v>80</v>
      </c>
      <c r="Q16" s="58" t="s">
        <v>80</v>
      </c>
      <c r="R16" s="52" t="s">
        <v>81</v>
      </c>
      <c r="S16" s="53" t="s">
        <v>78</v>
      </c>
      <c r="T16" s="53" t="s">
        <v>78</v>
      </c>
    </row>
    <row r="17" spans="2:20" ht="38.25" x14ac:dyDescent="0.25">
      <c r="B17" s="46">
        <v>0.03</v>
      </c>
      <c r="C17" s="46">
        <v>0.1</v>
      </c>
      <c r="D17" s="45">
        <v>2</v>
      </c>
      <c r="E17" s="47" t="s">
        <v>83</v>
      </c>
      <c r="F17" s="253"/>
      <c r="G17" s="59">
        <f>D17*G20</f>
        <v>2</v>
      </c>
      <c r="H17" s="62">
        <f>D17*H20</f>
        <v>4</v>
      </c>
      <c r="I17" s="63">
        <f>D17*I20</f>
        <v>6</v>
      </c>
      <c r="J17" s="55">
        <f>D17*J20</f>
        <v>8</v>
      </c>
      <c r="K17" s="56">
        <f>D17*K20</f>
        <v>10</v>
      </c>
      <c r="M17" s="45">
        <v>2</v>
      </c>
      <c r="N17" s="47" t="s">
        <v>83</v>
      </c>
      <c r="O17" s="256"/>
      <c r="P17" s="61" t="s">
        <v>84</v>
      </c>
      <c r="Q17" s="61" t="s">
        <v>84</v>
      </c>
      <c r="R17" s="58" t="s">
        <v>80</v>
      </c>
      <c r="S17" s="52" t="s">
        <v>81</v>
      </c>
      <c r="T17" s="53" t="s">
        <v>78</v>
      </c>
    </row>
    <row r="18" spans="2:20" ht="38.25" x14ac:dyDescent="0.25">
      <c r="B18" s="46">
        <v>0</v>
      </c>
      <c r="C18" s="46">
        <v>0.03</v>
      </c>
      <c r="D18" s="45">
        <v>1</v>
      </c>
      <c r="E18" s="47" t="s">
        <v>85</v>
      </c>
      <c r="F18" s="254"/>
      <c r="G18" s="59">
        <f>D18*G20</f>
        <v>1</v>
      </c>
      <c r="H18" s="62">
        <f>D18*H20</f>
        <v>2</v>
      </c>
      <c r="I18" s="63">
        <f>D18*I20</f>
        <v>3</v>
      </c>
      <c r="J18" s="55">
        <f>D18*J20</f>
        <v>4</v>
      </c>
      <c r="K18" s="56">
        <f>D18*K20</f>
        <v>5</v>
      </c>
      <c r="M18" s="45">
        <v>1</v>
      </c>
      <c r="N18" s="47" t="s">
        <v>85</v>
      </c>
      <c r="O18" s="257"/>
      <c r="P18" s="61" t="s">
        <v>84</v>
      </c>
      <c r="Q18" s="61" t="s">
        <v>84</v>
      </c>
      <c r="R18" s="58" t="s">
        <v>80</v>
      </c>
      <c r="S18" s="52" t="s">
        <v>81</v>
      </c>
      <c r="T18" s="53" t="s">
        <v>78</v>
      </c>
    </row>
    <row r="19" spans="2:20" ht="15.75" x14ac:dyDescent="0.25">
      <c r="C19" s="258" t="s">
        <v>86</v>
      </c>
      <c r="D19" s="259"/>
      <c r="E19" s="259"/>
      <c r="F19" s="260"/>
      <c r="G19" s="47" t="s">
        <v>87</v>
      </c>
      <c r="H19" s="47" t="s">
        <v>88</v>
      </c>
      <c r="I19" s="47" t="s">
        <v>89</v>
      </c>
      <c r="J19" s="47" t="s">
        <v>90</v>
      </c>
      <c r="K19" s="47" t="s">
        <v>91</v>
      </c>
      <c r="P19" s="47" t="s">
        <v>87</v>
      </c>
      <c r="Q19" s="47" t="s">
        <v>88</v>
      </c>
      <c r="R19" s="47" t="s">
        <v>89</v>
      </c>
      <c r="S19" s="47" t="s">
        <v>90</v>
      </c>
      <c r="T19" s="47" t="s">
        <v>91</v>
      </c>
    </row>
    <row r="20" spans="2:20" ht="18" x14ac:dyDescent="0.25">
      <c r="C20" s="45"/>
      <c r="D20" s="244" t="s">
        <v>73</v>
      </c>
      <c r="E20" s="245"/>
      <c r="F20" s="246"/>
      <c r="G20" s="45">
        <v>1</v>
      </c>
      <c r="H20" s="45">
        <v>2</v>
      </c>
      <c r="I20" s="45">
        <v>3</v>
      </c>
      <c r="J20" s="45">
        <v>4</v>
      </c>
      <c r="K20" s="45">
        <v>5</v>
      </c>
      <c r="P20" s="45">
        <v>1</v>
      </c>
      <c r="Q20" s="45">
        <v>2</v>
      </c>
      <c r="R20" s="45">
        <v>3</v>
      </c>
      <c r="S20" s="45">
        <v>4</v>
      </c>
      <c r="T20" s="45">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30" t="s">
        <v>92</v>
      </c>
    </row>
    <row r="37" spans="2:2" x14ac:dyDescent="0.25">
      <c r="B37" s="30" t="s">
        <v>93</v>
      </c>
    </row>
    <row r="38" spans="2:2" x14ac:dyDescent="0.25">
      <c r="B38" s="30" t="s">
        <v>7</v>
      </c>
    </row>
    <row r="39" spans="2:2" x14ac:dyDescent="0.25">
      <c r="B39" s="30" t="s">
        <v>94</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zoomScale="86" zoomScaleNormal="86" workbookViewId="0">
      <selection activeCell="A9" sqref="A9:A12"/>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36" style="14" customWidth="1"/>
    <col min="23" max="23" width="35.140625" style="14" customWidth="1"/>
    <col min="24" max="27" width="11.42578125" style="14"/>
    <col min="28" max="35" width="0" style="14" hidden="1" customWidth="1"/>
    <col min="36" max="16384" width="11.42578125" style="14"/>
  </cols>
  <sheetData>
    <row r="1" spans="1:35" ht="16.5" customHeight="1" x14ac:dyDescent="0.3">
      <c r="A1" s="177" t="s">
        <v>105</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113.25" customHeight="1" x14ac:dyDescent="0.25">
      <c r="A9" s="157">
        <v>1</v>
      </c>
      <c r="B9" s="169" t="str">
        <f>+[1]Identificacion!B4</f>
        <v>PLANEACION ESTRATEGICA</v>
      </c>
      <c r="C9" s="169"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69"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72" t="str">
        <f>+[1]Identificacion!E4</f>
        <v xml:space="preserve">
Incumplimiento de metas y objetivos institucionales</v>
      </c>
      <c r="F9" s="172" t="str">
        <f>+[1]Identificacion!F4</f>
        <v>1. Mala imagen institucional 
2. Recorte presupuestal para la siguiente vigencia 
3. Insatisfacción de los grupos de interés 
4. Reprocesos, desgaste administrativo.
5. Investigaciones disciplinales y fiscales.</v>
      </c>
      <c r="G9" s="157">
        <f>+[1]Probabilidad!E14</f>
        <v>3</v>
      </c>
      <c r="H9" s="157">
        <f>+'[1]Impacto '!D6</f>
        <v>4</v>
      </c>
      <c r="I9" s="23">
        <f>+G9*H9</f>
        <v>12</v>
      </c>
      <c r="J9" s="166" t="str">
        <f>IF(AND(I9&gt;=0,I9&lt;=4),'[1]Calificación de Riesgos'!$H$10,IF(I9&lt;7,'[1]Calificación de Riesgos'!$H$9,IF(I9&lt;11,'[1]Calificación de Riesgos'!$H$8,IF(I9&lt;=25,'[1]Calificación de Riesgos'!$H$7))))</f>
        <v>EXTREMA</v>
      </c>
      <c r="K9" s="163" t="s">
        <v>18</v>
      </c>
      <c r="L9" s="157">
        <v>1</v>
      </c>
      <c r="M9" s="157">
        <v>4</v>
      </c>
      <c r="N9" s="23">
        <f>+L9*M9</f>
        <v>4</v>
      </c>
      <c r="O9" s="160" t="str">
        <f>+'[1]Calificación de Riesgos'!H8</f>
        <v>ALTA</v>
      </c>
      <c r="P9" s="157" t="s">
        <v>7</v>
      </c>
      <c r="Q9" s="22" t="s">
        <v>17</v>
      </c>
      <c r="R9" s="24" t="s">
        <v>16</v>
      </c>
      <c r="S9" s="20">
        <v>43466</v>
      </c>
      <c r="T9" s="20">
        <v>43830</v>
      </c>
      <c r="U9" s="19" t="s">
        <v>4</v>
      </c>
      <c r="V9" s="24" t="s">
        <v>444</v>
      </c>
      <c r="W9" s="21" t="s">
        <v>445</v>
      </c>
      <c r="X9" s="18" t="s">
        <v>446</v>
      </c>
      <c r="Y9" s="18" t="s">
        <v>447</v>
      </c>
      <c r="Z9" s="18" t="s">
        <v>448</v>
      </c>
      <c r="AA9" s="18" t="s">
        <v>448</v>
      </c>
      <c r="AB9" s="18"/>
      <c r="AC9" s="18"/>
      <c r="AD9" s="18"/>
      <c r="AE9" s="18"/>
      <c r="AF9" s="18"/>
      <c r="AG9" s="18"/>
      <c r="AH9" s="18"/>
      <c r="AI9" s="18"/>
    </row>
    <row r="10" spans="1:35" s="17" customFormat="1" ht="78.75" customHeight="1" x14ac:dyDescent="0.25">
      <c r="A10" s="158"/>
      <c r="B10" s="170"/>
      <c r="C10" s="170"/>
      <c r="D10" s="170"/>
      <c r="E10" s="173"/>
      <c r="F10" s="173"/>
      <c r="G10" s="158"/>
      <c r="H10" s="158"/>
      <c r="I10" s="23"/>
      <c r="J10" s="167"/>
      <c r="K10" s="164"/>
      <c r="L10" s="158"/>
      <c r="M10" s="158"/>
      <c r="N10" s="23"/>
      <c r="O10" s="161"/>
      <c r="P10" s="158"/>
      <c r="Q10" s="22" t="s">
        <v>15</v>
      </c>
      <c r="R10" s="24" t="s">
        <v>14</v>
      </c>
      <c r="S10" s="20">
        <v>43466</v>
      </c>
      <c r="T10" s="20">
        <v>43830</v>
      </c>
      <c r="U10" s="19" t="s">
        <v>4</v>
      </c>
      <c r="V10" s="21" t="s">
        <v>449</v>
      </c>
      <c r="W10" s="21" t="s">
        <v>450</v>
      </c>
      <c r="X10" s="18" t="s">
        <v>446</v>
      </c>
      <c r="Y10" s="18" t="s">
        <v>447</v>
      </c>
      <c r="Z10" s="18" t="s">
        <v>448</v>
      </c>
      <c r="AA10" s="18" t="s">
        <v>448</v>
      </c>
      <c r="AB10" s="18"/>
      <c r="AC10" s="18"/>
      <c r="AD10" s="18"/>
      <c r="AE10" s="18"/>
      <c r="AF10" s="18"/>
      <c r="AG10" s="18"/>
      <c r="AH10" s="18"/>
      <c r="AI10" s="18"/>
    </row>
    <row r="11" spans="1:35" s="17" customFormat="1" ht="78.75" customHeight="1" x14ac:dyDescent="0.25">
      <c r="A11" s="158"/>
      <c r="B11" s="170"/>
      <c r="C11" s="170"/>
      <c r="D11" s="170"/>
      <c r="E11" s="173"/>
      <c r="F11" s="173"/>
      <c r="G11" s="158"/>
      <c r="H11" s="158"/>
      <c r="I11" s="23"/>
      <c r="J11" s="167"/>
      <c r="K11" s="164"/>
      <c r="L11" s="158"/>
      <c r="M11" s="158"/>
      <c r="N11" s="23"/>
      <c r="O11" s="161"/>
      <c r="P11" s="158"/>
      <c r="Q11" s="22" t="s">
        <v>13</v>
      </c>
      <c r="R11" s="24" t="s">
        <v>12</v>
      </c>
      <c r="S11" s="20">
        <v>43466</v>
      </c>
      <c r="T11" s="20">
        <v>43830</v>
      </c>
      <c r="U11" s="19" t="s">
        <v>4</v>
      </c>
      <c r="V11" s="121" t="s">
        <v>451</v>
      </c>
      <c r="W11" s="21" t="s">
        <v>452</v>
      </c>
      <c r="X11" s="18" t="s">
        <v>446</v>
      </c>
      <c r="Y11" s="18" t="s">
        <v>447</v>
      </c>
      <c r="Z11" s="18" t="s">
        <v>448</v>
      </c>
      <c r="AA11" s="18" t="s">
        <v>448</v>
      </c>
      <c r="AB11" s="18"/>
      <c r="AC11" s="18"/>
      <c r="AD11" s="18"/>
      <c r="AE11" s="18"/>
      <c r="AF11" s="18"/>
      <c r="AG11" s="18"/>
      <c r="AH11" s="18"/>
      <c r="AI11" s="18"/>
    </row>
    <row r="12" spans="1:35" s="17" customFormat="1" ht="78.75" customHeight="1" x14ac:dyDescent="0.25">
      <c r="A12" s="159"/>
      <c r="B12" s="171"/>
      <c r="C12" s="171"/>
      <c r="D12" s="171"/>
      <c r="E12" s="174"/>
      <c r="F12" s="174"/>
      <c r="G12" s="159"/>
      <c r="H12" s="159"/>
      <c r="I12" s="23"/>
      <c r="J12" s="168"/>
      <c r="K12" s="165"/>
      <c r="L12" s="159"/>
      <c r="M12" s="159"/>
      <c r="N12" s="23"/>
      <c r="O12" s="162"/>
      <c r="P12" s="159"/>
      <c r="Q12" s="22" t="s">
        <v>11</v>
      </c>
      <c r="R12" s="24" t="s">
        <v>10</v>
      </c>
      <c r="S12" s="20">
        <v>43525</v>
      </c>
      <c r="T12" s="20">
        <v>43738</v>
      </c>
      <c r="U12" s="19" t="s">
        <v>4</v>
      </c>
      <c r="V12" s="21" t="s">
        <v>453</v>
      </c>
      <c r="W12" s="21" t="s">
        <v>454</v>
      </c>
      <c r="X12" s="18" t="s">
        <v>446</v>
      </c>
      <c r="Y12" s="18" t="s">
        <v>447</v>
      </c>
      <c r="Z12" s="18" t="s">
        <v>448</v>
      </c>
      <c r="AA12" s="18" t="s">
        <v>448</v>
      </c>
      <c r="AB12" s="18"/>
      <c r="AC12" s="18"/>
      <c r="AD12" s="18"/>
      <c r="AE12" s="18"/>
      <c r="AF12" s="18"/>
      <c r="AG12" s="18"/>
      <c r="AH12" s="18"/>
      <c r="AI12" s="18"/>
    </row>
    <row r="13" spans="1:35" s="17" customFormat="1" ht="134.25" customHeight="1" x14ac:dyDescent="0.25">
      <c r="A13" s="157">
        <v>2</v>
      </c>
      <c r="B13" s="169" t="str">
        <f>+[1]Identificacion!B5</f>
        <v>PLANEACION ESTRATEGICA</v>
      </c>
      <c r="C13" s="169"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169"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72" t="str">
        <f>+[1]Identificacion!E5</f>
        <v xml:space="preserve">Incumplimiento en los tiempos establecidos para el registro, actualización y seguimiento a los proyectos de inversión </v>
      </c>
      <c r="F13" s="172" t="str">
        <f>+[1]Identificacion!F5</f>
        <v>1. Sanciones por no cumplimiento de los cronogramas y lineamientos establecidos. 
2. Desfinanciamiento para la ejecución de las  metas y productos establecidas.
3. No contar con información en tiempo real de la ejecución de los proyectos.</v>
      </c>
      <c r="G13" s="157">
        <f>+[1]Probabilidad!E15</f>
        <v>3</v>
      </c>
      <c r="H13" s="157">
        <f>+'[1]Impacto '!D7</f>
        <v>4</v>
      </c>
      <c r="I13" s="23">
        <f>+G13*H13</f>
        <v>12</v>
      </c>
      <c r="J13" s="166" t="str">
        <f>IF(AND(I13&gt;=0,I13&lt;=4),'[1]Calificación de Riesgos'!$H$10,IF(I13&lt;7,'[1]Calificación de Riesgos'!$H$9,IF(I13&lt;11,'[1]Calificación de Riesgos'!$H$8,IF(I13&lt;=25,'[1]Calificación de Riesgos'!$H$7))))</f>
        <v>EXTREMA</v>
      </c>
      <c r="K13" s="172" t="s">
        <v>9</v>
      </c>
      <c r="L13" s="157">
        <v>1</v>
      </c>
      <c r="M13" s="157">
        <v>4</v>
      </c>
      <c r="N13" s="23">
        <f>+L13*M13</f>
        <v>4</v>
      </c>
      <c r="O13" s="175" t="str">
        <f>+'[1]Calificación de Riesgos'!H8</f>
        <v>ALTA</v>
      </c>
      <c r="P13" s="157" t="s">
        <v>7</v>
      </c>
      <c r="Q13" s="22" t="s">
        <v>461</v>
      </c>
      <c r="R13" s="24" t="s">
        <v>463</v>
      </c>
      <c r="S13" s="20">
        <v>43466</v>
      </c>
      <c r="T13" s="20">
        <v>43830</v>
      </c>
      <c r="U13" s="19" t="s">
        <v>4</v>
      </c>
      <c r="V13" s="24" t="s">
        <v>455</v>
      </c>
      <c r="W13" s="24" t="s">
        <v>456</v>
      </c>
      <c r="X13" s="18" t="s">
        <v>446</v>
      </c>
      <c r="Y13" s="18" t="s">
        <v>447</v>
      </c>
      <c r="Z13" s="18" t="s">
        <v>448</v>
      </c>
      <c r="AA13" s="18" t="s">
        <v>448</v>
      </c>
      <c r="AB13" s="18"/>
      <c r="AC13" s="18"/>
      <c r="AD13" s="18"/>
      <c r="AE13" s="18"/>
      <c r="AF13" s="18"/>
      <c r="AG13" s="18"/>
      <c r="AH13" s="18"/>
      <c r="AI13" s="18"/>
    </row>
    <row r="14" spans="1:35" s="17" customFormat="1" ht="134.25" customHeight="1" x14ac:dyDescent="0.25">
      <c r="A14" s="159"/>
      <c r="B14" s="171"/>
      <c r="C14" s="171"/>
      <c r="D14" s="171"/>
      <c r="E14" s="174"/>
      <c r="F14" s="174"/>
      <c r="G14" s="159"/>
      <c r="H14" s="159"/>
      <c r="I14" s="112"/>
      <c r="J14" s="168"/>
      <c r="K14" s="174"/>
      <c r="L14" s="159"/>
      <c r="M14" s="159"/>
      <c r="N14" s="112"/>
      <c r="O14" s="176"/>
      <c r="P14" s="159"/>
      <c r="Q14" s="113" t="s">
        <v>462</v>
      </c>
      <c r="R14" s="24" t="s">
        <v>464</v>
      </c>
      <c r="S14" s="20">
        <v>43466</v>
      </c>
      <c r="T14" s="20">
        <v>43830</v>
      </c>
      <c r="U14" s="114" t="s">
        <v>4</v>
      </c>
      <c r="V14" s="24" t="s">
        <v>457</v>
      </c>
      <c r="W14" s="21" t="s">
        <v>458</v>
      </c>
      <c r="X14" s="18" t="s">
        <v>446</v>
      </c>
      <c r="Y14" s="18" t="s">
        <v>447</v>
      </c>
      <c r="Z14" s="18" t="s">
        <v>448</v>
      </c>
      <c r="AA14" s="18" t="s">
        <v>448</v>
      </c>
      <c r="AB14" s="18"/>
      <c r="AC14" s="18"/>
      <c r="AD14" s="18"/>
      <c r="AE14" s="18"/>
      <c r="AF14" s="18"/>
      <c r="AG14" s="18"/>
      <c r="AH14" s="18"/>
      <c r="AI14" s="18"/>
    </row>
    <row r="15" spans="1:35" s="17" customFormat="1" ht="164.25" customHeight="1" x14ac:dyDescent="0.25">
      <c r="A15" s="23">
        <v>3</v>
      </c>
      <c r="B15" s="22" t="str">
        <f>+[1]Identificacion!B6</f>
        <v>PLANEACION ESTRATEGICA</v>
      </c>
      <c r="C15" s="22"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5" s="22"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5" s="18" t="str">
        <f>+[1]Identificacion!E6</f>
        <v>Deficiencias en el ciclo de la  mejora continua de los procesos de la Entidad</v>
      </c>
      <c r="F15" s="18" t="str">
        <f>+[1]Identificacion!F6</f>
        <v>1. Hallazgos por parte de los órganos de control 
2. Investigaciones por parte de los entes de control 
3. Auditoria Internas sin efectividad 
4. Perdida de imagen institucional</v>
      </c>
      <c r="G15" s="23">
        <f>+[1]Probabilidad!E16</f>
        <v>3</v>
      </c>
      <c r="H15" s="23">
        <f>+'[1]Impacto '!D8</f>
        <v>3</v>
      </c>
      <c r="I15" s="23">
        <f>+G15*H15</f>
        <v>9</v>
      </c>
      <c r="J15" s="65" t="str">
        <f>IF(AND(I15&gt;=0,I15&lt;=4),'[1]Calificación de Riesgos'!$H$10,IF(I15&lt;7,'[1]Calificación de Riesgos'!$H$9,IF(I15&lt;11,'[1]Calificación de Riesgos'!$H$8,IF(I15&lt;=25,'[1]Calificación de Riesgos'!$H$7))))</f>
        <v>ALTA</v>
      </c>
      <c r="K15" s="22" t="s">
        <v>8</v>
      </c>
      <c r="L15" s="23">
        <v>1</v>
      </c>
      <c r="M15" s="23">
        <v>3</v>
      </c>
      <c r="N15" s="23">
        <f>+L15*M15</f>
        <v>3</v>
      </c>
      <c r="O15" s="65" t="str">
        <f>+'[1]Calificación de Riesgos'!H8</f>
        <v>ALTA</v>
      </c>
      <c r="P15" s="18" t="s">
        <v>7</v>
      </c>
      <c r="Q15" s="22" t="s">
        <v>6</v>
      </c>
      <c r="R15" s="21" t="s">
        <v>5</v>
      </c>
      <c r="S15" s="20">
        <v>43466</v>
      </c>
      <c r="T15" s="20">
        <v>43830</v>
      </c>
      <c r="U15" s="19" t="s">
        <v>4</v>
      </c>
      <c r="V15" s="21" t="s">
        <v>459</v>
      </c>
      <c r="W15" s="21" t="s">
        <v>460</v>
      </c>
      <c r="X15" s="18" t="s">
        <v>446</v>
      </c>
      <c r="Y15" s="18" t="s">
        <v>447</v>
      </c>
      <c r="Z15" s="18" t="s">
        <v>448</v>
      </c>
      <c r="AA15" s="18" t="s">
        <v>448</v>
      </c>
      <c r="AB15" s="18"/>
      <c r="AC15" s="18"/>
      <c r="AD15" s="18"/>
      <c r="AE15" s="18"/>
      <c r="AF15" s="18"/>
      <c r="AG15" s="18"/>
      <c r="AH15" s="18"/>
      <c r="AI15" s="18"/>
    </row>
  </sheetData>
  <mergeCells count="38">
    <mergeCell ref="L13:L14"/>
    <mergeCell ref="M13:M14"/>
    <mergeCell ref="O13:O14"/>
    <mergeCell ref="P13:P14"/>
    <mergeCell ref="A1:AA5"/>
    <mergeCell ref="F13:F14"/>
    <mergeCell ref="G13:G14"/>
    <mergeCell ref="H13:H14"/>
    <mergeCell ref="J13:J14"/>
    <mergeCell ref="K13:K14"/>
    <mergeCell ref="A13:A14"/>
    <mergeCell ref="B13:B14"/>
    <mergeCell ref="C13:C14"/>
    <mergeCell ref="D13:D14"/>
    <mergeCell ref="E13:E14"/>
    <mergeCell ref="G9:G12"/>
    <mergeCell ref="A9:A12"/>
    <mergeCell ref="P9:P12"/>
    <mergeCell ref="O9:O12"/>
    <mergeCell ref="M9:M12"/>
    <mergeCell ref="L9:L12"/>
    <mergeCell ref="K9:K12"/>
    <mergeCell ref="J9:J12"/>
    <mergeCell ref="H9:H12"/>
    <mergeCell ref="B9:B12"/>
    <mergeCell ref="C9:C12"/>
    <mergeCell ref="D9:D12"/>
    <mergeCell ref="E9:E12"/>
    <mergeCell ref="F9:F12"/>
    <mergeCell ref="AB6:AI7"/>
    <mergeCell ref="G7:J7"/>
    <mergeCell ref="L7:M7"/>
    <mergeCell ref="O7:P7"/>
    <mergeCell ref="A6:F7"/>
    <mergeCell ref="G6:J6"/>
    <mergeCell ref="L6:P6"/>
    <mergeCell ref="V6:AA7"/>
    <mergeCell ref="Q6:U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x14:cfRule>
          <x14:cfRule type="containsText" priority="9" operator="containsText" id="{256F5868-FE57-4B7C-9BCE-8064C39AE450}">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NOT(ISERROR(SEARCH('\PLANEACIÓN 2019\RIESGOS 2019\PLANEACIÓN ESTRATEGICA\[Mapa de Riesgos Gestion Planeacion Estrategica 2019 FINAL.xlsx]Calificación de Riesgos'!#REF!,J9)))</xm:f>
            <xm:f>'\PLANEACIÓN 2019\RIESGOS 2019\PLANEACIÓN ESTRATEGICA\[Mapa de Riesgos Gestion Planeacion Estrategica 2019 FINAL.xlsx]Calificación de Riesgos'!#REF!</xm:f>
            <x14:dxf>
              <fill>
                <patternFill>
                  <bgColor rgb="FF00B050"/>
                </patternFill>
              </fill>
            </x14:dxf>
          </x14:cfRule>
          <xm:sqref>J9 J13 J15</xm:sqref>
        </x14:conditionalFormatting>
        <x14:conditionalFormatting xmlns:xm="http://schemas.microsoft.com/office/excel/2006/main">
          <x14:cfRule type="containsText" priority="1" operator="containsText" id="{30F64733-0EF8-4CFA-90DE-B7F9683512B2}">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x14:cfRule>
          <x14:cfRule type="containsText" priority="4" operator="containsText" id="{FFAA23CE-E30C-4C7E-A459-B06E431AC659}">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NOT(ISERROR(SEARCH('\PLANEACIÓN 2019\RIESGOS 2019\PLANEACIÓN ESTRATEGICA\[Mapa de Riesgos Gestion Planeacion Estrategica 2019 FINAL.xlsx]Calificación de Riesgos'!#REF!,O9)))</xm:f>
            <xm:f>'\PLANEACIÓN 2019\RIESGOS 2019\PLANEACIÓN ESTRATEGICA\[Mapa de Riesgos Gestion Planeacion Estrategica 2019 FINAL.xlsx]Calificación de Riesgos'!#REF!</xm:f>
            <x14:dxf>
              <fill>
                <patternFill>
                  <bgColor rgb="FF00B050"/>
                </patternFill>
              </fill>
            </x14:dxf>
          </x14:cfRule>
          <xm:sqref>O9 O13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'[1]Calificación de Riesgos'!#REF!</xm:f>
          </x14:formula1>
          <xm:sqref>P9 P13 P15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87" zoomScaleNormal="87" workbookViewId="0">
      <selection activeCell="A10" sqref="A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20" style="15" customWidth="1"/>
    <col min="21" max="21" width="19.85546875" style="15" customWidth="1"/>
    <col min="22" max="22" width="17.28515625" style="14" customWidth="1"/>
    <col min="23" max="23" width="33.5703125" style="14" customWidth="1"/>
    <col min="24" max="27" width="15.7109375" style="14" customWidth="1"/>
    <col min="28" max="36" width="0" style="14" hidden="1" customWidth="1"/>
    <col min="37" max="16384" width="11.42578125" style="14"/>
  </cols>
  <sheetData>
    <row r="1" spans="1:35" ht="16.5" customHeight="1" x14ac:dyDescent="0.3">
      <c r="A1" s="179" t="s">
        <v>104</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row>
    <row r="2" spans="1:35" ht="16.5" customHeight="1" x14ac:dyDescent="0.3">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row>
    <row r="3" spans="1:35" ht="13.5" customHeight="1" x14ac:dyDescent="0.3">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row>
    <row r="4" spans="1:35" ht="13.5" customHeight="1" x14ac:dyDescent="0.3">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row>
    <row r="5" spans="1:35" ht="13.5" customHeight="1" x14ac:dyDescent="0.3">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row>
    <row r="6" spans="1:35" s="25" customFormat="1" ht="57"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57"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99" x14ac:dyDescent="0.25">
      <c r="A9" s="23">
        <v>1</v>
      </c>
      <c r="B9" s="22" t="str">
        <f>+[3]Identificacion!B4</f>
        <v>EVALUACIÓN, CONTROL Y MEJORA</v>
      </c>
      <c r="C9" s="22" t="str">
        <f>+[3]Identificacion!C4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2" t="str">
        <f>+[3]Identificacion!D4</f>
        <v xml:space="preserve">1. Inoportunidad en el suministro de la información por parte de los procesos/dependencias.
2. Desconocimiento de la importancia del control interno en el apoyo a la gestión      
3. Fuentes de información primaria desactualizada </v>
      </c>
      <c r="E9" s="18" t="str">
        <f>+[3]Identificacion!E4</f>
        <v>Incumplimiento de los términos legales para la presentación de informes de ley</v>
      </c>
      <c r="F9" s="18" t="str">
        <f>+[3]Identificacion!F4</f>
        <v>1. Sanciones pecuniarias y responsabilidades administrativas y  disciplinarias. 
2. Pérdida de imagen institucional</v>
      </c>
      <c r="G9" s="23">
        <f>+[3]Probabilidad!E14</f>
        <v>2</v>
      </c>
      <c r="H9" s="23">
        <f>+'[3]Impacto '!D6</f>
        <v>4</v>
      </c>
      <c r="I9" s="23">
        <f t="shared" ref="I9:I11" si="0">+G9*H9</f>
        <v>8</v>
      </c>
      <c r="J9" s="65" t="str">
        <f>IF(AND(I9&gt;=0,I9&lt;=4),'[3]Calificación de Riesgos'!$H$10,IF(I9&lt;7,'[3]Calificación de Riesgos'!$H$9,IF(I9&lt;13,'[3]Calificación de Riesgos'!$H$8,IF(I9&lt;=25,'[3]Calificación de Riesgos'!$H$7))))</f>
        <v>ALTA</v>
      </c>
      <c r="K9" s="66" t="s">
        <v>95</v>
      </c>
      <c r="L9" s="23">
        <v>1</v>
      </c>
      <c r="M9" s="23">
        <v>3</v>
      </c>
      <c r="N9" s="23">
        <f>+L9*M9</f>
        <v>3</v>
      </c>
      <c r="O9" s="71" t="str">
        <f>+'[3]Calificación de Riesgos'!H9</f>
        <v>MODERADA</v>
      </c>
      <c r="P9" s="18" t="s">
        <v>7</v>
      </c>
      <c r="Q9" s="67" t="s">
        <v>96</v>
      </c>
      <c r="R9" s="21" t="s">
        <v>97</v>
      </c>
      <c r="S9" s="20">
        <v>43496</v>
      </c>
      <c r="T9" s="20">
        <v>43814</v>
      </c>
      <c r="U9" s="19" t="s">
        <v>98</v>
      </c>
      <c r="V9" s="18" t="s">
        <v>465</v>
      </c>
      <c r="W9" s="18" t="s">
        <v>466</v>
      </c>
      <c r="X9" s="18" t="s">
        <v>467</v>
      </c>
      <c r="Y9" s="18" t="s">
        <v>468</v>
      </c>
      <c r="Z9" s="18" t="s">
        <v>448</v>
      </c>
      <c r="AA9" s="18" t="s">
        <v>448</v>
      </c>
      <c r="AB9" s="18"/>
      <c r="AC9" s="18"/>
      <c r="AD9" s="18"/>
      <c r="AE9" s="18"/>
      <c r="AF9" s="18"/>
      <c r="AG9" s="18"/>
      <c r="AH9" s="18"/>
      <c r="AI9" s="18"/>
    </row>
    <row r="10" spans="1:35" s="17" customFormat="1" ht="115.5" x14ac:dyDescent="0.25">
      <c r="A10" s="23">
        <v>2</v>
      </c>
      <c r="B10" s="22" t="str">
        <f>+[3]Identificacion!B5</f>
        <v>EVALUACIÓN, CONTROL Y MEJORA</v>
      </c>
      <c r="C10" s="22" t="str">
        <f>+[3]Identificacion!C5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2" t="str">
        <f>+[3]Identificacion!D5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8" t="str">
        <f>+[3]Identificacion!E5</f>
        <v>Incumplimiento del Plan Anual de Auditorías.</v>
      </c>
      <c r="F10" s="18" t="str">
        <f>+[3]Identificacion!F5</f>
        <v>1. Posible materialización de riesgos en los procesos.
2. Incumplimiento de metas/indicadores establecidas en el POA para el proceso de Evaluación, control y Mejora.</v>
      </c>
      <c r="G10" s="23">
        <f>+[3]Probabilidad!E15</f>
        <v>2</v>
      </c>
      <c r="H10" s="23">
        <f>+'[3]Impacto '!D7</f>
        <v>4</v>
      </c>
      <c r="I10" s="23">
        <f t="shared" si="0"/>
        <v>8</v>
      </c>
      <c r="J10" s="65" t="str">
        <f>IF(AND(I10&gt;=0,I10&lt;=4),'[3]Calificación de Riesgos'!$H$10,IF(I10&lt;7,'[3]Calificación de Riesgos'!$H$9,IF(I10&lt;13,'[3]Calificación de Riesgos'!$H$8,IF(I10&lt;=25,'[3]Calificación de Riesgos'!$H$7))))</f>
        <v>ALTA</v>
      </c>
      <c r="K10" s="66" t="s">
        <v>99</v>
      </c>
      <c r="L10" s="23">
        <v>1</v>
      </c>
      <c r="M10" s="23">
        <v>3</v>
      </c>
      <c r="N10" s="23">
        <f t="shared" ref="N10:N11" si="1">+L10*M10</f>
        <v>3</v>
      </c>
      <c r="O10" s="71" t="str">
        <f>+'[3]Calificación de Riesgos'!H9</f>
        <v>MODERADA</v>
      </c>
      <c r="P10" s="18" t="s">
        <v>7</v>
      </c>
      <c r="Q10" s="67" t="s">
        <v>100</v>
      </c>
      <c r="R10" s="21" t="s">
        <v>101</v>
      </c>
      <c r="S10" s="20">
        <v>43496</v>
      </c>
      <c r="T10" s="20">
        <v>43814</v>
      </c>
      <c r="U10" s="19" t="s">
        <v>98</v>
      </c>
      <c r="V10" s="18" t="s">
        <v>465</v>
      </c>
      <c r="W10" s="18" t="s">
        <v>469</v>
      </c>
      <c r="X10" s="18" t="s">
        <v>467</v>
      </c>
      <c r="Y10" s="18" t="s">
        <v>468</v>
      </c>
      <c r="Z10" s="18" t="s">
        <v>448</v>
      </c>
      <c r="AA10" s="18" t="s">
        <v>448</v>
      </c>
      <c r="AB10" s="18"/>
      <c r="AC10" s="18"/>
      <c r="AD10" s="18"/>
      <c r="AE10" s="18"/>
      <c r="AF10" s="18"/>
      <c r="AG10" s="18"/>
      <c r="AH10" s="18"/>
      <c r="AI10" s="18"/>
    </row>
    <row r="11" spans="1:35" ht="115.5" x14ac:dyDescent="0.3">
      <c r="A11" s="23">
        <v>3</v>
      </c>
      <c r="B11" s="22" t="str">
        <f>+[3]Identificacion!B6</f>
        <v>EVALUACIÓN, CONTROL Y MEJORA</v>
      </c>
      <c r="C11" s="22" t="str">
        <f>+[3]Identificacion!C6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2" t="str">
        <f>+[3]Identificacion!D6</f>
        <v>1. Desconocimiento del procedimiento para la elaboración de planes de mejoramiento.
2. Falta de autocontrol por parte de los procesos.</v>
      </c>
      <c r="E11" s="18" t="str">
        <f>+[3]Identificacion!E6</f>
        <v>Deficiencias en el ciclo de la  mejora continua de los procesos de la Entidad</v>
      </c>
      <c r="F11" s="18" t="str">
        <f>+[3]Identificacion!F6</f>
        <v>1. Hallazgos por parte de los órganos de control 
3. Auditoria Internas sin efectividad 
4. Perdida de imagen institucional</v>
      </c>
      <c r="G11" s="23">
        <f>+[3]Probabilidad!E16</f>
        <v>3</v>
      </c>
      <c r="H11" s="23">
        <f>+'[3]Impacto '!D8</f>
        <v>4</v>
      </c>
      <c r="I11" s="23">
        <f t="shared" si="0"/>
        <v>12</v>
      </c>
      <c r="J11" s="65" t="str">
        <f>IF(AND(I11&gt;=0,I11&lt;=4),'[3]Calificación de Riesgos'!$H$10,IF(I11&lt;7,'[3]Calificación de Riesgos'!$H$9,IF(I11&lt;13,'[3]Calificación de Riesgos'!$H$8,IF(I11&lt;=25,'[3]Calificación de Riesgos'!$H$7))))</f>
        <v>ALTA</v>
      </c>
      <c r="K11" s="22" t="s">
        <v>8</v>
      </c>
      <c r="L11" s="23">
        <v>1</v>
      </c>
      <c r="M11" s="23">
        <v>3</v>
      </c>
      <c r="N11" s="23">
        <f t="shared" si="1"/>
        <v>3</v>
      </c>
      <c r="O11" s="65" t="str">
        <f>+'[3]Calificación de Riesgos'!H8</f>
        <v>ALTA</v>
      </c>
      <c r="P11" s="18" t="s">
        <v>7</v>
      </c>
      <c r="Q11" s="22" t="s">
        <v>102</v>
      </c>
      <c r="R11" s="21" t="s">
        <v>103</v>
      </c>
      <c r="S11" s="20">
        <v>43466</v>
      </c>
      <c r="T11" s="20">
        <v>43830</v>
      </c>
      <c r="U11" s="19" t="s">
        <v>98</v>
      </c>
      <c r="V11" s="18" t="s">
        <v>465</v>
      </c>
      <c r="W11" s="18" t="s">
        <v>470</v>
      </c>
      <c r="X11" s="18" t="s">
        <v>467</v>
      </c>
      <c r="Y11" s="18" t="s">
        <v>468</v>
      </c>
      <c r="Z11" s="18" t="s">
        <v>448</v>
      </c>
      <c r="AA11" s="18" t="s">
        <v>448</v>
      </c>
      <c r="AB11" s="18"/>
      <c r="AC11" s="18"/>
      <c r="AD11" s="18"/>
      <c r="AE11" s="18"/>
      <c r="AF11" s="18"/>
      <c r="AG11" s="18"/>
      <c r="AH11" s="18"/>
      <c r="AI11"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'[2]Calificación de Riesgos'!#REF!</xm:f>
          </x14:formula1>
          <xm:sqref>P11</xm:sqref>
        </x14:dataValidation>
        <x14:dataValidation type="list" allowBlank="1" showInputMessage="1" showErrorMessage="1">
          <x14:formula1>
            <xm:f>'[3]Calificación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7" zoomScaleNormal="87" workbookViewId="0">
      <selection activeCell="C9" sqref="C9"/>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2" width="35.28515625" style="14" customWidth="1"/>
    <col min="23" max="23" width="31.85546875" style="14" customWidth="1"/>
    <col min="24" max="27" width="11.42578125" style="14"/>
    <col min="28" max="35" width="0" style="14" hidden="1" customWidth="1"/>
    <col min="36" max="16384" width="11.42578125" style="14"/>
  </cols>
  <sheetData>
    <row r="1" spans="1:35" ht="16.5" customHeight="1" x14ac:dyDescent="0.3">
      <c r="A1" s="177" t="s">
        <v>137</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210" customHeight="1" x14ac:dyDescent="0.25">
      <c r="A9" s="23">
        <v>1</v>
      </c>
      <c r="B9" s="22" t="str">
        <f>+[4]Identificacion!B4</f>
        <v>GESTIÓN DOCUMENTAL</v>
      </c>
      <c r="C9" s="22" t="str">
        <f>+[4]Identificacion!C4</f>
        <v>Administrar los documentos que produce y recibe la Entidad, garantizando de manera eficaz su manejo, custodia y preservación, a través de mecanismos que permitan su consulta eficiente, con el fin de dar cumplimiento a los fines institucionales.</v>
      </c>
      <c r="D9" s="22" t="str">
        <f>+[4]Identificacion!D4</f>
        <v>1. Condiciones ambientales inadecuadas en espacios de archivo en depósitos.
2. Manipulación y custodia indebida del archivo.</v>
      </c>
      <c r="E9" s="18" t="str">
        <f>+[4]Identificacion!E4</f>
        <v xml:space="preserve">Deterioro físico parcial o total de documentos  </v>
      </c>
      <c r="F9" s="18" t="str">
        <f>+[4]Identificacion!F4</f>
        <v>1. PQRS, denuncias, demandas y acciones de tutela de titulares mineros y otros usuarios internos y externos
2. Asignación de recursos para reconstrucción por pérdida de información parcial o total</v>
      </c>
      <c r="G9" s="23">
        <f>+[4]Probabilidad!E14</f>
        <v>3</v>
      </c>
      <c r="H9" s="23">
        <f>+'[4]Impacto '!D6</f>
        <v>4</v>
      </c>
      <c r="I9" s="23">
        <f>+G9*H9</f>
        <v>12</v>
      </c>
      <c r="J9" s="65" t="str">
        <f>IF(AND(I9&gt;=0,I9&lt;=4),'[4]Calificación de Riesgos'!$H$10,IF(I9&lt;7,'[4]Calificación de Riesgos'!$H$9,IF(I9&lt;13,'[4]Calificación de Riesgos'!$H$8,IF(I9&lt;=25,'[4]Calificación de Riesgos'!$H$7))))</f>
        <v>ALTA</v>
      </c>
      <c r="K9" s="66" t="s">
        <v>106</v>
      </c>
      <c r="L9" s="23">
        <v>1</v>
      </c>
      <c r="M9" s="23">
        <v>3</v>
      </c>
      <c r="N9" s="23">
        <f>+L9*M9</f>
        <v>3</v>
      </c>
      <c r="O9" s="71" t="str">
        <f>+'[4]Calificación de Riesgos'!H9</f>
        <v>MODERADA</v>
      </c>
      <c r="P9" s="18" t="s">
        <v>7</v>
      </c>
      <c r="Q9" s="66" t="s">
        <v>107</v>
      </c>
      <c r="R9" s="66" t="s">
        <v>108</v>
      </c>
      <c r="S9" s="68">
        <v>43511</v>
      </c>
      <c r="T9" s="69">
        <v>43830</v>
      </c>
      <c r="U9" s="70" t="s">
        <v>109</v>
      </c>
      <c r="V9" s="18" t="s">
        <v>471</v>
      </c>
      <c r="W9" s="113" t="s">
        <v>472</v>
      </c>
      <c r="X9" s="18" t="s">
        <v>467</v>
      </c>
      <c r="Y9" s="18" t="s">
        <v>468</v>
      </c>
      <c r="Z9" s="18" t="s">
        <v>473</v>
      </c>
      <c r="AA9" s="18" t="s">
        <v>473</v>
      </c>
      <c r="AB9" s="18"/>
      <c r="AC9" s="18"/>
      <c r="AD9" s="18"/>
      <c r="AE9" s="18"/>
      <c r="AF9" s="18"/>
      <c r="AG9" s="18"/>
      <c r="AH9" s="18"/>
      <c r="AI9" s="18"/>
    </row>
  </sheetData>
  <mergeCells count="10">
    <mergeCell ref="A1:AA5"/>
    <mergeCell ref="AB6:AI7"/>
    <mergeCell ref="G7:J7"/>
    <mergeCell ref="L7:M7"/>
    <mergeCell ref="O7:P7"/>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4E5DB708-834B-4012-B718-8EF73A518BA4}">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C000"/>
                </patternFill>
              </fill>
            </x14:dxf>
          </x14:cfRule>
          <x14:cfRule type="containsText" priority="2" operator="containsText" id="{9C17EED1-D9C2-4EE3-864A-7F17187F2CD7}">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0000"/>
                </patternFill>
              </fill>
            </x14:dxf>
          </x14:cfRule>
          <x14:cfRule type="containsText" priority="3" operator="containsText" id="{9F5F2538-C02D-43C1-8E0D-6AB3D10F8051}">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x14:cfRule>
          <x14:cfRule type="containsText" priority="4" operator="containsText" id="{A671E788-9983-4F3C-ACDB-DD857B403C38}">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FF00"/>
                </patternFill>
              </fill>
            </x14:dxf>
          </x14:cfRule>
          <x14:cfRule type="containsText" priority="5" operator="containsText" id="{83F788E6-7734-4C64-A5B0-2F19F276689A}">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00B050"/>
                </patternFill>
              </fill>
            </x14:dxf>
          </x14:cfRule>
          <xm:sqref>J9 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89" zoomScaleNormal="89" workbookViewId="0">
      <selection activeCell="A9" sqref="A9:A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2" width="31.85546875" style="14" customWidth="1"/>
    <col min="23" max="23" width="32.7109375" style="14" customWidth="1"/>
    <col min="24" max="27" width="11.42578125" style="14"/>
    <col min="28" max="35" width="0" style="14" hidden="1" customWidth="1"/>
    <col min="36" max="16384" width="11.42578125" style="14"/>
  </cols>
  <sheetData>
    <row r="1" spans="1:35" ht="16.5" customHeight="1" x14ac:dyDescent="0.3">
      <c r="A1" s="177" t="s">
        <v>136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95.25"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99" x14ac:dyDescent="0.25">
      <c r="A9" s="157">
        <v>1</v>
      </c>
      <c r="B9" s="169" t="str">
        <f>+[5]Identificacion!B4</f>
        <v>GESTION JURIDICA</v>
      </c>
      <c r="C9" s="169" t="str">
        <f>+[5]Identificacion!C4</f>
        <v>Asesorar, representar y coordinar en tematicas relacionadas con procesos judiciales y extrajudiciales a la Agencia Nacional de Mineria, a través del cumplimiento y aplicación de la normatividad vigente.</v>
      </c>
      <c r="D9" s="169" t="str">
        <f>+[5]Identificacion!D4</f>
        <v xml:space="preserve">1. Inoportunidad en la remisión de la información por parte de las dependencias/procesos a la Oficina Asesora Juridica para dar trámite.
2. Duplicidad de radicados en las dependencias </v>
      </c>
      <c r="E9" s="169" t="str">
        <f>+[5]Identificacion!E4</f>
        <v>Emisión de conceptos por fuera del término legal establecido</v>
      </c>
      <c r="F9" s="169" t="str">
        <f>+[5]Identificacion!F4</f>
        <v>1. Pérdida de imagen y credibilidad de la ANM.
2. Procesos disciplinarios
3. Tutelas para la Entidad</v>
      </c>
      <c r="G9" s="157">
        <f>+[5]Probabilidad!E14</f>
        <v>5</v>
      </c>
      <c r="H9" s="157">
        <f>+'[5]Impacto '!D6</f>
        <v>2</v>
      </c>
      <c r="I9" s="23">
        <f t="shared" ref="I9:I15" si="0">+G9*H9</f>
        <v>10</v>
      </c>
      <c r="J9" s="175" t="str">
        <f>IF(AND(I9&gt;=0,I9&lt;=4),'[5]Calificación de Riesgos'!$H$10,IF(I9&lt;7,'[5]Calificación de Riesgos'!$H$9,IF(I9&lt;13,'[5]Calificación de Riesgos'!$H$8,IF(I9&lt;=25,'[5]Calificación de Riesgos'!$H$7))))</f>
        <v>ALTA</v>
      </c>
      <c r="K9" s="169" t="s">
        <v>110</v>
      </c>
      <c r="L9" s="157">
        <v>2</v>
      </c>
      <c r="M9" s="157">
        <v>2</v>
      </c>
      <c r="N9" s="23">
        <f>+L9*M9</f>
        <v>4</v>
      </c>
      <c r="O9" s="183" t="str">
        <f>IF(AND(N9&gt;=0,N9&lt;=4),'[5]Calificación de Riesgos'!$H$10,IF(N9&lt;7,'[5]Calificación de Riesgos'!$H$9,IF(N9&lt;13,'[5]Calificación de Riesgos'!$H$8,IF(N9&lt;=25,'[5]Calificación de Riesgos'!$H$7))))</f>
        <v>BAJA</v>
      </c>
      <c r="P9" s="157" t="s">
        <v>7</v>
      </c>
      <c r="Q9" s="22" t="s">
        <v>111</v>
      </c>
      <c r="R9" s="24" t="s">
        <v>112</v>
      </c>
      <c r="S9" s="20">
        <v>43496</v>
      </c>
      <c r="T9" s="20">
        <v>43814</v>
      </c>
      <c r="U9" s="19" t="s">
        <v>113</v>
      </c>
      <c r="V9" s="18" t="s">
        <v>474</v>
      </c>
      <c r="W9" s="18" t="s">
        <v>475</v>
      </c>
      <c r="X9" s="18" t="s">
        <v>467</v>
      </c>
      <c r="Y9" s="18" t="s">
        <v>468</v>
      </c>
      <c r="Z9" s="18" t="s">
        <v>476</v>
      </c>
      <c r="AA9" s="18" t="s">
        <v>476</v>
      </c>
      <c r="AB9" s="18"/>
      <c r="AC9" s="18"/>
      <c r="AD9" s="18"/>
      <c r="AE9" s="18"/>
      <c r="AF9" s="18"/>
      <c r="AG9" s="18"/>
      <c r="AH9" s="18"/>
      <c r="AI9" s="18"/>
    </row>
    <row r="10" spans="1:35" s="17" customFormat="1" ht="99" x14ac:dyDescent="0.25">
      <c r="A10" s="159"/>
      <c r="B10" s="171"/>
      <c r="C10" s="171"/>
      <c r="D10" s="171"/>
      <c r="E10" s="171"/>
      <c r="F10" s="171"/>
      <c r="G10" s="159"/>
      <c r="H10" s="159"/>
      <c r="I10" s="23"/>
      <c r="J10" s="176"/>
      <c r="K10" s="171"/>
      <c r="L10" s="159"/>
      <c r="M10" s="159"/>
      <c r="N10" s="23"/>
      <c r="O10" s="184"/>
      <c r="P10" s="159"/>
      <c r="Q10" s="22" t="s">
        <v>114</v>
      </c>
      <c r="R10" s="24" t="s">
        <v>112</v>
      </c>
      <c r="S10" s="20">
        <v>43496</v>
      </c>
      <c r="T10" s="20">
        <v>43814</v>
      </c>
      <c r="U10" s="19" t="s">
        <v>113</v>
      </c>
      <c r="V10" s="18" t="s">
        <v>474</v>
      </c>
      <c r="W10" s="18" t="s">
        <v>475</v>
      </c>
      <c r="X10" s="18" t="s">
        <v>467</v>
      </c>
      <c r="Y10" s="18" t="s">
        <v>468</v>
      </c>
      <c r="Z10" s="18" t="s">
        <v>476</v>
      </c>
      <c r="AA10" s="18" t="s">
        <v>476</v>
      </c>
      <c r="AB10" s="18"/>
      <c r="AC10" s="18"/>
      <c r="AD10" s="18"/>
      <c r="AE10" s="18"/>
      <c r="AF10" s="18"/>
      <c r="AG10" s="18"/>
      <c r="AH10" s="18"/>
      <c r="AI10" s="18"/>
    </row>
    <row r="11" spans="1:35" s="17" customFormat="1" ht="99" x14ac:dyDescent="0.25">
      <c r="A11" s="157">
        <v>2</v>
      </c>
      <c r="B11" s="169" t="str">
        <f>+[5]Identificacion!B5</f>
        <v>GESTION JURIDICA</v>
      </c>
      <c r="C11" s="169" t="str">
        <f>+[5]Identificacion!C5</f>
        <v>Asesorar, representar y coordinar en tematicas relacionadas con procesos judiciales y extrajudiciales a la Agencia Nacional de Mineria, a través del cumplimiento y aplicación de la normatividad vigente.</v>
      </c>
      <c r="D11" s="169"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69" t="str">
        <f>+[5]Identificacion!E5</f>
        <v xml:space="preserve">No efectuar la debida defensa judicial en favor de la ANM por parte de los apoderados </v>
      </c>
      <c r="F11" s="169" t="str">
        <f>+[5]Identificacion!F5</f>
        <v xml:space="preserve">1. Fallos en contra de los intereses de la entidad
2. Posible detrimento Patrimonial, 
3. Investigaciones y sanciones por parte de los entes de control.
</v>
      </c>
      <c r="G11" s="157">
        <f>+[5]Probabilidad!E15</f>
        <v>2</v>
      </c>
      <c r="H11" s="157">
        <f>+'[5]Impacto '!D7</f>
        <v>4</v>
      </c>
      <c r="I11" s="23">
        <f t="shared" si="0"/>
        <v>8</v>
      </c>
      <c r="J11" s="175" t="str">
        <f>IF(AND(I11&gt;=0,I11&lt;=4),'[5]Calificación de Riesgos'!$H$10,IF(I11&lt;7,'[5]Calificación de Riesgos'!$H$9,IF(I11&lt;12,'[5]Calificación de Riesgos'!$H$8,IF(I11&lt;=25,'[5]Calificación de Riesgos'!$H$7))))</f>
        <v>ALTA</v>
      </c>
      <c r="K11" s="169" t="s">
        <v>115</v>
      </c>
      <c r="L11" s="157">
        <v>1</v>
      </c>
      <c r="M11" s="157">
        <v>3</v>
      </c>
      <c r="N11" s="23">
        <f t="shared" ref="N11:N15" si="1">+L11*M11</f>
        <v>3</v>
      </c>
      <c r="O11" s="181" t="str">
        <f>+'[5]Calificación de Riesgos'!H9</f>
        <v>MODERADA</v>
      </c>
      <c r="P11" s="157" t="s">
        <v>7</v>
      </c>
      <c r="Q11" s="22" t="s">
        <v>116</v>
      </c>
      <c r="R11" s="24" t="s">
        <v>117</v>
      </c>
      <c r="S11" s="20">
        <v>43496</v>
      </c>
      <c r="T11" s="20">
        <v>43814</v>
      </c>
      <c r="U11" s="19" t="s">
        <v>118</v>
      </c>
      <c r="V11" s="18" t="s">
        <v>477</v>
      </c>
      <c r="W11" s="18" t="s">
        <v>478</v>
      </c>
      <c r="X11" s="18" t="s">
        <v>467</v>
      </c>
      <c r="Y11" s="18" t="s">
        <v>468</v>
      </c>
      <c r="Z11" s="18" t="s">
        <v>476</v>
      </c>
      <c r="AA11" s="18" t="s">
        <v>476</v>
      </c>
      <c r="AB11" s="18"/>
      <c r="AC11" s="18"/>
      <c r="AD11" s="18"/>
      <c r="AE11" s="18"/>
      <c r="AF11" s="18"/>
      <c r="AG11" s="18"/>
      <c r="AH11" s="18"/>
      <c r="AI11" s="18"/>
    </row>
    <row r="12" spans="1:35" s="17" customFormat="1" ht="99" x14ac:dyDescent="0.25">
      <c r="A12" s="159"/>
      <c r="B12" s="171"/>
      <c r="C12" s="171"/>
      <c r="D12" s="171"/>
      <c r="E12" s="171"/>
      <c r="F12" s="171"/>
      <c r="G12" s="159"/>
      <c r="H12" s="159"/>
      <c r="I12" s="23"/>
      <c r="J12" s="176"/>
      <c r="K12" s="171"/>
      <c r="L12" s="159"/>
      <c r="M12" s="159"/>
      <c r="N12" s="23"/>
      <c r="O12" s="182"/>
      <c r="P12" s="159"/>
      <c r="Q12" s="22" t="s">
        <v>119</v>
      </c>
      <c r="R12" s="24" t="s">
        <v>117</v>
      </c>
      <c r="S12" s="20">
        <v>43496</v>
      </c>
      <c r="T12" s="20">
        <v>43814</v>
      </c>
      <c r="U12" s="19" t="s">
        <v>118</v>
      </c>
      <c r="V12" s="18" t="s">
        <v>477</v>
      </c>
      <c r="W12" s="18" t="s">
        <v>478</v>
      </c>
      <c r="X12" s="18" t="s">
        <v>467</v>
      </c>
      <c r="Y12" s="18" t="s">
        <v>468</v>
      </c>
      <c r="Z12" s="18" t="s">
        <v>476</v>
      </c>
      <c r="AA12" s="18" t="s">
        <v>476</v>
      </c>
      <c r="AB12" s="18"/>
      <c r="AC12" s="18"/>
      <c r="AD12" s="18"/>
      <c r="AE12" s="18"/>
      <c r="AF12" s="18"/>
      <c r="AG12" s="18"/>
      <c r="AH12" s="18"/>
      <c r="AI12" s="18"/>
    </row>
    <row r="13" spans="1:35" s="17" customFormat="1" ht="66" x14ac:dyDescent="0.25">
      <c r="A13" s="157">
        <v>3</v>
      </c>
      <c r="B13" s="169" t="str">
        <f>+[5]Identificacion!B6</f>
        <v>GESTION JURIDICA</v>
      </c>
      <c r="C13" s="169" t="str">
        <f>+[5]Identificacion!C6</f>
        <v>Asesorar, representar y coordinar en tematicas relacionadas con procesos judiciales y extrajudiciales a la Agencia Nacional de Mineria, a través del cumplimiento y aplicación de la normatividad vigente.</v>
      </c>
      <c r="D13" s="169" t="str">
        <f>+[5]Identificacion!D6</f>
        <v>1. No se dispone del espacio suficiente, adecuado y seguro para la custodia de los expedientes
2. Debilidades en la aplicación de tecnicas de archivo para los expediente sin tener en cuenta el orden cronológico.</v>
      </c>
      <c r="E13" s="169" t="str">
        <f>+[5]Identificacion!E6</f>
        <v>Perdida y/o indebida manipulación de los expedientes judiciales.</v>
      </c>
      <c r="F13" s="169" t="str">
        <f>+[5]Identificacion!F6</f>
        <v>1. Imposibilidad de ejercer la debida defensa 
2. Posible fallos adversos a los intereses de la entidad 
3. Investigaciones y sanciones por parte de los entes de control.</v>
      </c>
      <c r="G13" s="157">
        <f>+[5]Probabilidad!E16</f>
        <v>2</v>
      </c>
      <c r="H13" s="157">
        <f>+'[5]Impacto '!D8</f>
        <v>2</v>
      </c>
      <c r="I13" s="23">
        <f t="shared" si="0"/>
        <v>4</v>
      </c>
      <c r="J13" s="183" t="str">
        <f>IF(AND(I13&gt;=0,I13&lt;=4),'[5]Calificación de Riesgos'!$H$10,IF(I13&lt;7,'[5]Calificación de Riesgos'!$H$9,IF(I13&lt;12,'[5]Calificación de Riesgos'!$H$8,IF(I13&lt;=25,'[5]Calificación de Riesgos'!$H$7))))</f>
        <v>BAJA</v>
      </c>
      <c r="K13" s="169" t="s">
        <v>120</v>
      </c>
      <c r="L13" s="157">
        <v>1</v>
      </c>
      <c r="M13" s="157">
        <v>1</v>
      </c>
      <c r="N13" s="23">
        <f t="shared" si="1"/>
        <v>1</v>
      </c>
      <c r="O13" s="183" t="str">
        <f>IF(AND(N13&gt;=0,N13&lt;=4),'[5]Calificación de Riesgos'!$H$10,IF(N13&lt;7,'[5]Calificación de Riesgos'!$H$9,IF(N13&lt;13,'[5]Calificación de Riesgos'!$H$8,IF(N13&lt;=25,'[5]Calificación de Riesgos'!$H$7))))</f>
        <v>BAJA</v>
      </c>
      <c r="P13" s="157" t="s">
        <v>7</v>
      </c>
      <c r="Q13" s="22" t="s">
        <v>121</v>
      </c>
      <c r="R13" s="24" t="s">
        <v>122</v>
      </c>
      <c r="S13" s="20">
        <v>43496</v>
      </c>
      <c r="T13" s="20">
        <v>43814</v>
      </c>
      <c r="U13" s="19" t="s">
        <v>118</v>
      </c>
      <c r="V13" s="18" t="s">
        <v>479</v>
      </c>
      <c r="W13" s="18" t="s">
        <v>480</v>
      </c>
      <c r="X13" s="18" t="s">
        <v>467</v>
      </c>
      <c r="Y13" s="18" t="s">
        <v>468</v>
      </c>
      <c r="Z13" s="18" t="s">
        <v>476</v>
      </c>
      <c r="AA13" s="18" t="s">
        <v>476</v>
      </c>
      <c r="AB13" s="18"/>
      <c r="AC13" s="18"/>
      <c r="AD13" s="18"/>
      <c r="AE13" s="18"/>
      <c r="AF13" s="18"/>
      <c r="AG13" s="18"/>
      <c r="AH13" s="18"/>
      <c r="AI13" s="18"/>
    </row>
    <row r="14" spans="1:35" s="17" customFormat="1" ht="66" x14ac:dyDescent="0.25">
      <c r="A14" s="159"/>
      <c r="B14" s="171"/>
      <c r="C14" s="171"/>
      <c r="D14" s="171"/>
      <c r="E14" s="171"/>
      <c r="F14" s="171"/>
      <c r="G14" s="159"/>
      <c r="H14" s="159"/>
      <c r="I14" s="23"/>
      <c r="J14" s="184"/>
      <c r="K14" s="171"/>
      <c r="L14" s="159"/>
      <c r="M14" s="159"/>
      <c r="N14" s="23"/>
      <c r="O14" s="184"/>
      <c r="P14" s="159"/>
      <c r="Q14" s="22" t="s">
        <v>123</v>
      </c>
      <c r="R14" s="24" t="s">
        <v>122</v>
      </c>
      <c r="S14" s="20">
        <v>43496</v>
      </c>
      <c r="T14" s="20">
        <v>43814</v>
      </c>
      <c r="U14" s="19" t="s">
        <v>118</v>
      </c>
      <c r="V14" s="18" t="s">
        <v>479</v>
      </c>
      <c r="W14" s="18" t="s">
        <v>480</v>
      </c>
      <c r="X14" s="18" t="s">
        <v>467</v>
      </c>
      <c r="Y14" s="18" t="s">
        <v>468</v>
      </c>
      <c r="Z14" s="18" t="s">
        <v>476</v>
      </c>
      <c r="AA14" s="18" t="s">
        <v>476</v>
      </c>
      <c r="AB14" s="18"/>
      <c r="AC14" s="18"/>
      <c r="AD14" s="18"/>
      <c r="AE14" s="18"/>
      <c r="AF14" s="18"/>
      <c r="AG14" s="18"/>
      <c r="AH14" s="18"/>
      <c r="AI14" s="18"/>
    </row>
    <row r="15" spans="1:35" s="17" customFormat="1" ht="99" x14ac:dyDescent="0.25">
      <c r="A15" s="157">
        <v>4</v>
      </c>
      <c r="B15" s="169" t="str">
        <f>+[5]Identificacion!B7</f>
        <v>GESTION JURIDICA</v>
      </c>
      <c r="C15" s="169" t="str">
        <f>+[5]Identificacion!C7</f>
        <v>Asesorar, representar y coordinar en tematicas relacionadas con procesos judiciales y extrajudiciales a la Agencia Nacional de Mineria, a través del cumplimiento y aplicación de la normatividad vigente.</v>
      </c>
      <c r="D15" s="169" t="str">
        <f>+[5]Identificacion!D7</f>
        <v>1. No realizar Backup de la información en forma periódica 
2. Fallas en la base de datos por su capacidad, y peso de la información que contiene.
3. Falta de infraestructura para custodia de los titulos</v>
      </c>
      <c r="E15" s="169" t="str">
        <f>+[5]Identificacion!E7</f>
        <v>Perdida y/o manipulación inapropiada de la base de datos de procesos de Cobro Coactivo</v>
      </c>
      <c r="F15" s="169"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57">
        <f>+[5]Probabilidad!E17</f>
        <v>3</v>
      </c>
      <c r="H15" s="157">
        <f>+'[5]Impacto '!D9</f>
        <v>3</v>
      </c>
      <c r="I15" s="23">
        <f t="shared" si="0"/>
        <v>9</v>
      </c>
      <c r="J15" s="175" t="str">
        <f>IF(AND(I15&gt;=0,I15&lt;=4),'[5]Calificación de Riesgos'!$H$10,IF(I15&lt;7,'[5]Calificación de Riesgos'!$H$9,IF(I15&lt;12,'[5]Calificación de Riesgos'!$H$8,IF(I15&lt;=25,'[5]Calificación de Riesgos'!$H$7))))</f>
        <v>ALTA</v>
      </c>
      <c r="K15" s="169" t="s">
        <v>124</v>
      </c>
      <c r="L15" s="157">
        <v>1</v>
      </c>
      <c r="M15" s="157">
        <v>3</v>
      </c>
      <c r="N15" s="23">
        <f t="shared" si="1"/>
        <v>3</v>
      </c>
      <c r="O15" s="183" t="str">
        <f>IF(AND(N15&gt;=0,N15&lt;=4),'[5]Calificación de Riesgos'!$H$10,IF(N15&lt;7,'[5]Calificación de Riesgos'!$H$9,IF(N15&lt;13,'[5]Calificación de Riesgos'!$H$8,IF(N15&lt;=25,'[5]Calificación de Riesgos'!$H$7))))</f>
        <v>BAJA</v>
      </c>
      <c r="P15" s="157" t="s">
        <v>7</v>
      </c>
      <c r="Q15" s="22" t="s">
        <v>125</v>
      </c>
      <c r="R15" s="24" t="s">
        <v>126</v>
      </c>
      <c r="S15" s="20">
        <v>43496</v>
      </c>
      <c r="T15" s="20">
        <v>43814</v>
      </c>
      <c r="U15" s="72" t="s">
        <v>127</v>
      </c>
      <c r="V15" s="66" t="s">
        <v>481</v>
      </c>
      <c r="W15" s="122" t="s">
        <v>482</v>
      </c>
      <c r="X15" s="122" t="s">
        <v>467</v>
      </c>
      <c r="Y15" s="18" t="s">
        <v>468</v>
      </c>
      <c r="Z15" s="18" t="s">
        <v>476</v>
      </c>
      <c r="AA15" s="18" t="s">
        <v>476</v>
      </c>
      <c r="AB15" s="18"/>
      <c r="AC15" s="18"/>
      <c r="AD15" s="18"/>
      <c r="AE15" s="18"/>
      <c r="AF15" s="18"/>
      <c r="AG15" s="18"/>
      <c r="AH15" s="18"/>
      <c r="AI15" s="18"/>
    </row>
    <row r="16" spans="1:35" s="17" customFormat="1" ht="99" x14ac:dyDescent="0.25">
      <c r="A16" s="159"/>
      <c r="B16" s="171"/>
      <c r="C16" s="171"/>
      <c r="D16" s="171"/>
      <c r="E16" s="171"/>
      <c r="F16" s="171"/>
      <c r="G16" s="159"/>
      <c r="H16" s="159"/>
      <c r="I16" s="23"/>
      <c r="J16" s="176"/>
      <c r="K16" s="171"/>
      <c r="L16" s="159"/>
      <c r="M16" s="159"/>
      <c r="N16" s="23"/>
      <c r="O16" s="184"/>
      <c r="P16" s="159"/>
      <c r="Q16" s="22" t="s">
        <v>128</v>
      </c>
      <c r="R16" s="24" t="s">
        <v>126</v>
      </c>
      <c r="S16" s="20">
        <v>43496</v>
      </c>
      <c r="T16" s="20">
        <v>43814</v>
      </c>
      <c r="U16" s="72" t="s">
        <v>127</v>
      </c>
      <c r="V16" s="122" t="s">
        <v>483</v>
      </c>
      <c r="W16" s="122" t="s">
        <v>484</v>
      </c>
      <c r="X16" s="122" t="s">
        <v>485</v>
      </c>
      <c r="Y16" s="18" t="s">
        <v>468</v>
      </c>
      <c r="Z16" s="18" t="s">
        <v>476</v>
      </c>
      <c r="AA16" s="18" t="s">
        <v>476</v>
      </c>
      <c r="AB16" s="18"/>
      <c r="AC16" s="18"/>
      <c r="AD16" s="18"/>
      <c r="AE16" s="18"/>
      <c r="AF16" s="18"/>
      <c r="AG16" s="18"/>
      <c r="AH16" s="18"/>
      <c r="AI16" s="18"/>
    </row>
    <row r="17" spans="1:35" ht="99" x14ac:dyDescent="0.3">
      <c r="A17" s="157">
        <v>5</v>
      </c>
      <c r="B17" s="169" t="str">
        <f>+[5]Identificacion!B8</f>
        <v>GESTION JURIDICA</v>
      </c>
      <c r="C17" s="169" t="str">
        <f>+[5]Identificacion!C8</f>
        <v>Asesorar, representar y coordinar en tematicas relacionadas con procesos judiciales y extrajudiciales a la Agencia Nacional de Mineria, a través del cumplimiento y aplicación de la normatividad vigente.</v>
      </c>
      <c r="D17" s="169" t="str">
        <f>+[5]Identificacion!D8</f>
        <v>1. Falta de control de términos 
2. Carga Laboral excesiva 
3. Inoportunidad en la remisión de titulos ejecutvos por parte de areas misionales.</v>
      </c>
      <c r="E17" s="169" t="str">
        <f>+[5]Identificacion!E8</f>
        <v>Vencimiento de términos en los procesos a cargo del grupo de Cobro Coactivo</v>
      </c>
      <c r="F17" s="169" t="str">
        <f>+[5]Identificacion!F8</f>
        <v xml:space="preserve">1. Pérdida de la competencia para ejercer la acción de cobro coactivo 
2. Detrimento patrimonial 
3. Responsabilidad disciplinaria 
</v>
      </c>
      <c r="G17" s="157">
        <f>+[5]Probabilidad!E18</f>
        <v>3</v>
      </c>
      <c r="H17" s="157">
        <f>+'[5]Impacto '!D10</f>
        <v>4</v>
      </c>
      <c r="I17" s="23">
        <f t="shared" ref="I17" si="2">+G17*H17</f>
        <v>12</v>
      </c>
      <c r="J17" s="166" t="str">
        <f>IF(AND(I17&gt;=0,I17&lt;=4),'[5]Calificación de Riesgos'!$H$10,IF(I17&lt;7,'[5]Calificación de Riesgos'!$H$9,IF(I17&lt;12,'[5]Calificación de Riesgos'!$H$8,IF(I17&lt;=25,'[5]Calificación de Riesgos'!$H$7))))</f>
        <v>EXTREMA</v>
      </c>
      <c r="K17" s="169" t="s">
        <v>129</v>
      </c>
      <c r="L17" s="157">
        <v>2</v>
      </c>
      <c r="M17" s="157">
        <v>3</v>
      </c>
      <c r="N17" s="23">
        <f t="shared" ref="N17" si="3">+L17*M17</f>
        <v>6</v>
      </c>
      <c r="O17" s="181" t="str">
        <f>IF(AND(N17&gt;=0,N17&lt;=4),'[5]Calificación de Riesgos'!$H$10,IF(N17&lt;7,'[5]Calificación de Riesgos'!$H$9,IF(N17&lt;13,'[5]Calificación de Riesgos'!$H$8,IF(N17&lt;=25,'[5]Calificación de Riesgos'!$H$7))))</f>
        <v>MODERADA</v>
      </c>
      <c r="P17" s="157" t="s">
        <v>7</v>
      </c>
      <c r="Q17" s="22" t="s">
        <v>130</v>
      </c>
      <c r="R17" s="24" t="s">
        <v>131</v>
      </c>
      <c r="S17" s="20">
        <v>43496</v>
      </c>
      <c r="T17" s="20">
        <v>43814</v>
      </c>
      <c r="U17" s="72" t="s">
        <v>127</v>
      </c>
      <c r="V17" s="122" t="s">
        <v>486</v>
      </c>
      <c r="W17" s="123" t="s">
        <v>487</v>
      </c>
      <c r="X17" s="122" t="s">
        <v>467</v>
      </c>
      <c r="Y17" s="18" t="s">
        <v>468</v>
      </c>
      <c r="Z17" s="18" t="s">
        <v>476</v>
      </c>
      <c r="AA17" s="18" t="s">
        <v>476</v>
      </c>
      <c r="AB17" s="18"/>
      <c r="AC17" s="18"/>
      <c r="AD17" s="18"/>
      <c r="AE17" s="18"/>
      <c r="AF17" s="18"/>
      <c r="AG17" s="18"/>
      <c r="AH17" s="18"/>
      <c r="AI17" s="18"/>
    </row>
    <row r="18" spans="1:35" ht="99" x14ac:dyDescent="0.3">
      <c r="A18" s="158"/>
      <c r="B18" s="170"/>
      <c r="C18" s="170"/>
      <c r="D18" s="170"/>
      <c r="E18" s="170"/>
      <c r="F18" s="170"/>
      <c r="G18" s="158"/>
      <c r="H18" s="158"/>
      <c r="I18" s="23"/>
      <c r="J18" s="167"/>
      <c r="K18" s="170"/>
      <c r="L18" s="158"/>
      <c r="M18" s="158"/>
      <c r="N18" s="23"/>
      <c r="O18" s="185"/>
      <c r="P18" s="158"/>
      <c r="Q18" s="22" t="s">
        <v>132</v>
      </c>
      <c r="R18" s="24" t="s">
        <v>133</v>
      </c>
      <c r="S18" s="20">
        <v>43496</v>
      </c>
      <c r="T18" s="20">
        <v>43814</v>
      </c>
      <c r="U18" s="72" t="s">
        <v>127</v>
      </c>
      <c r="V18" s="21" t="s">
        <v>486</v>
      </c>
      <c r="W18" s="21" t="s">
        <v>488</v>
      </c>
      <c r="X18" s="21" t="s">
        <v>467</v>
      </c>
      <c r="Y18" s="21" t="s">
        <v>468</v>
      </c>
      <c r="Z18" s="21" t="s">
        <v>476</v>
      </c>
      <c r="AA18" s="21" t="s">
        <v>476</v>
      </c>
      <c r="AB18" s="18"/>
      <c r="AC18" s="18"/>
      <c r="AD18" s="18"/>
      <c r="AE18" s="18"/>
      <c r="AF18" s="18"/>
      <c r="AG18" s="18"/>
      <c r="AH18" s="18"/>
      <c r="AI18" s="18"/>
    </row>
    <row r="19" spans="1:35" ht="66" x14ac:dyDescent="0.3">
      <c r="A19" s="159"/>
      <c r="B19" s="171"/>
      <c r="C19" s="171"/>
      <c r="D19" s="171"/>
      <c r="E19" s="171"/>
      <c r="F19" s="171"/>
      <c r="G19" s="159"/>
      <c r="H19" s="159"/>
      <c r="I19" s="23"/>
      <c r="J19" s="168"/>
      <c r="K19" s="171"/>
      <c r="L19" s="159"/>
      <c r="M19" s="159"/>
      <c r="N19" s="23"/>
      <c r="O19" s="182"/>
      <c r="P19" s="159"/>
      <c r="Q19" s="22" t="s">
        <v>134</v>
      </c>
      <c r="R19" s="24" t="s">
        <v>135</v>
      </c>
      <c r="S19" s="20">
        <v>43496</v>
      </c>
      <c r="T19" s="20">
        <v>43814</v>
      </c>
      <c r="U19" s="72" t="s">
        <v>127</v>
      </c>
      <c r="V19" s="21" t="s">
        <v>486</v>
      </c>
      <c r="W19" s="21" t="s">
        <v>489</v>
      </c>
      <c r="X19" s="21" t="s">
        <v>467</v>
      </c>
      <c r="Y19" s="21" t="s">
        <v>468</v>
      </c>
      <c r="Z19" s="21" t="s">
        <v>476</v>
      </c>
      <c r="AA19" s="21" t="s">
        <v>476</v>
      </c>
      <c r="AB19" s="18"/>
      <c r="AC19" s="18"/>
      <c r="AD19" s="18"/>
      <c r="AE19" s="18"/>
      <c r="AF19" s="18"/>
      <c r="AG19" s="18"/>
      <c r="AH19" s="18"/>
      <c r="AI19" s="18"/>
    </row>
  </sheetData>
  <mergeCells count="80">
    <mergeCell ref="A1:AA5"/>
    <mergeCell ref="O17:O19"/>
    <mergeCell ref="P17:P19"/>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2807830C-F82F-431C-8DE5-7327A366E36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C8716228-AB12-4C78-AC0E-56820AB9D6A3}">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43CA95A2-2397-4D52-BF25-9D1D036B11D7}">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39165734-0D0B-4340-BB4C-D469639F8316}">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zoomScale="93" zoomScaleNormal="93" workbookViewId="0">
      <selection activeCell="A9" sqref="A9"/>
    </sheetView>
  </sheetViews>
  <sheetFormatPr baseColWidth="10" defaultRowHeight="16.5" x14ac:dyDescent="0.3"/>
  <cols>
    <col min="1" max="1" width="11.42578125" style="14"/>
    <col min="2" max="2" width="19.28515625" style="16" customWidth="1"/>
    <col min="3" max="3" width="78.5703125" style="14" customWidth="1"/>
    <col min="4" max="4" width="51.28515625" style="14" customWidth="1"/>
    <col min="5" max="5" width="30.42578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0.42578125" style="14" customWidth="1"/>
    <col min="14" max="14" width="13.5703125" style="14" hidden="1" customWidth="1"/>
    <col min="15" max="15" width="17"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11.5703125" style="14" customWidth="1"/>
    <col min="23" max="23" width="49.85546875" style="14" customWidth="1"/>
    <col min="24" max="24" width="47.5703125" style="14" customWidth="1"/>
    <col min="25" max="25" width="27" style="14" customWidth="1"/>
    <col min="26" max="26" width="42" style="14" customWidth="1"/>
    <col min="27" max="27" width="23.140625" style="14" customWidth="1"/>
    <col min="28" max="36" width="0" style="14" hidden="1" customWidth="1"/>
    <col min="37" max="16384" width="11.42578125" style="14"/>
  </cols>
  <sheetData>
    <row r="1" spans="1:35" ht="16.5" customHeight="1" x14ac:dyDescent="0.3">
      <c r="A1" s="177" t="s">
        <v>171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50.2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c r="AB6" s="149" t="s">
        <v>53</v>
      </c>
      <c r="AC6" s="150"/>
      <c r="AD6" s="150"/>
      <c r="AE6" s="150"/>
      <c r="AF6" s="150"/>
      <c r="AG6" s="150"/>
      <c r="AH6" s="150"/>
      <c r="AI6" s="151"/>
    </row>
    <row r="7" spans="1:35" s="25" customFormat="1" ht="50.25"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148.5" x14ac:dyDescent="0.25">
      <c r="A9" s="23">
        <v>1</v>
      </c>
      <c r="B9" s="22" t="str">
        <f>+[6]Identificacion!B4</f>
        <v>GESTIÓN DEL TALENTO HUMANO</v>
      </c>
      <c r="C9" s="22"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2" t="str">
        <f>+[6]Identificacion!D4</f>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
      <c r="E9" s="22" t="str">
        <f>+[6]Identificacion!E4</f>
        <v>Incumplimiento del Plan Estratégico de Talento Humano de la  vigencia</v>
      </c>
      <c r="F9" s="22" t="str">
        <f>+[6]Identificacion!F4</f>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
      <c r="G9" s="23">
        <f>+[6]Probabilidad!E14</f>
        <v>3</v>
      </c>
      <c r="H9" s="23">
        <f>+'[6]Impacto '!D6</f>
        <v>4</v>
      </c>
      <c r="I9" s="23">
        <f t="shared" ref="I9:I13" si="0">+G9*H9</f>
        <v>12</v>
      </c>
      <c r="J9" s="82" t="str">
        <f>IF(AND(I9&gt;=0,I9&lt;=4),'[6]Calificación de Riesgos'!$H$10,IF(I9&lt;7,'[6]Calificación de Riesgos'!$H$9,IF(I9&lt;12,'[6]Calificación de Riesgos'!$H$8,IF(I9&lt;=25,'[6]Calificación de Riesgos'!$H$7))))</f>
        <v>EXTREMA</v>
      </c>
      <c r="K9" s="22" t="s">
        <v>138</v>
      </c>
      <c r="L9" s="23">
        <v>1</v>
      </c>
      <c r="M9" s="23">
        <v>4</v>
      </c>
      <c r="N9" s="23">
        <f>+L9*M9</f>
        <v>4</v>
      </c>
      <c r="O9" s="79" t="str">
        <f>+'[6]Calificación de Riesgos'!H8</f>
        <v>ALTA</v>
      </c>
      <c r="P9" s="18" t="s">
        <v>7</v>
      </c>
      <c r="Q9" s="22" t="s">
        <v>139</v>
      </c>
      <c r="R9" s="21" t="s">
        <v>140</v>
      </c>
      <c r="S9" s="20">
        <v>43132</v>
      </c>
      <c r="T9" s="20">
        <v>43814</v>
      </c>
      <c r="U9" s="19" t="s">
        <v>141</v>
      </c>
      <c r="V9" s="18" t="s">
        <v>490</v>
      </c>
      <c r="W9" s="18" t="s">
        <v>491</v>
      </c>
      <c r="X9" s="18" t="s">
        <v>467</v>
      </c>
      <c r="Y9" s="18" t="s">
        <v>468</v>
      </c>
      <c r="Z9" s="18" t="s">
        <v>448</v>
      </c>
      <c r="AA9" s="18" t="s">
        <v>448</v>
      </c>
      <c r="AB9" s="18"/>
      <c r="AC9" s="18"/>
      <c r="AD9" s="18"/>
      <c r="AE9" s="18"/>
      <c r="AF9" s="18"/>
      <c r="AG9" s="18"/>
      <c r="AH9" s="18"/>
      <c r="AI9" s="18"/>
    </row>
    <row r="10" spans="1:35" s="17" customFormat="1" ht="148.5" x14ac:dyDescent="0.25">
      <c r="A10" s="23">
        <v>2</v>
      </c>
      <c r="B10" s="22" t="str">
        <f>+[6]Identificacion!B5</f>
        <v>GESTIÓN DEL TALENTO HUMANO</v>
      </c>
      <c r="C10" s="22"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22" t="str">
        <f>+[6]Identificacion!D5</f>
        <v xml:space="preserve">1. Proceso manual de registro de la información en planta de personal, información desactualizada.
2. Manejo de alto volumen de documentación que puede ocasionar fallas en la entrega de la información.
</v>
      </c>
      <c r="E10" s="22" t="str">
        <f>+[6]Identificacion!E5</f>
        <v xml:space="preserve">Inconsistencias en la información certificada de la planta de personal a funcionarios y/o terceros.
</v>
      </c>
      <c r="F10" s="22" t="str">
        <f>+[6]Identificacion!F5</f>
        <v xml:space="preserve">1. Investigaciones disciplinarias
2. Mala imagen del grupo.
3. Reproceso en la prestación del servicio.
4. Acciones judiciales en contra de la Entidad.
</v>
      </c>
      <c r="G10" s="23">
        <f>+[6]Probabilidad!E15</f>
        <v>3</v>
      </c>
      <c r="H10" s="23">
        <f>+'[6]Impacto '!D7</f>
        <v>4</v>
      </c>
      <c r="I10" s="23">
        <f t="shared" si="0"/>
        <v>12</v>
      </c>
      <c r="J10" s="82" t="str">
        <f>IF(AND(I10&gt;=0,I10&lt;=4),'[6]Calificación de Riesgos'!$H$10,IF(I10&lt;7,'[6]Calificación de Riesgos'!$H$9,IF(I10&lt;12,'[6]Calificación de Riesgos'!$H$8,IF(I10&lt;=25,'[6]Calificación de Riesgos'!$H$7))))</f>
        <v>EXTREMA</v>
      </c>
      <c r="K10" s="22" t="s">
        <v>142</v>
      </c>
      <c r="L10" s="23">
        <v>1</v>
      </c>
      <c r="M10" s="23">
        <v>4</v>
      </c>
      <c r="N10" s="23">
        <f t="shared" ref="N10:N18" si="1">+L10*M10</f>
        <v>4</v>
      </c>
      <c r="O10" s="79" t="str">
        <f>+'[6]Calificación de Riesgos'!H8</f>
        <v>ALTA</v>
      </c>
      <c r="P10" s="18" t="s">
        <v>7</v>
      </c>
      <c r="Q10" s="22" t="s">
        <v>143</v>
      </c>
      <c r="R10" s="21" t="s">
        <v>144</v>
      </c>
      <c r="S10" s="20">
        <v>43132</v>
      </c>
      <c r="T10" s="20">
        <v>43814</v>
      </c>
      <c r="U10" s="19" t="s">
        <v>141</v>
      </c>
      <c r="V10" s="18" t="s">
        <v>492</v>
      </c>
      <c r="W10" s="18" t="s">
        <v>493</v>
      </c>
      <c r="X10" s="18" t="s">
        <v>467</v>
      </c>
      <c r="Y10" s="18" t="s">
        <v>468</v>
      </c>
      <c r="Z10" s="18" t="s">
        <v>448</v>
      </c>
      <c r="AA10" s="18" t="s">
        <v>448</v>
      </c>
      <c r="AB10" s="18"/>
      <c r="AC10" s="18"/>
      <c r="AD10" s="18"/>
      <c r="AE10" s="18"/>
      <c r="AF10" s="18"/>
      <c r="AG10" s="18"/>
      <c r="AH10" s="18"/>
      <c r="AI10" s="18"/>
    </row>
    <row r="11" spans="1:35" s="17" customFormat="1" ht="148.5" x14ac:dyDescent="0.25">
      <c r="A11" s="23">
        <v>3</v>
      </c>
      <c r="B11" s="22" t="str">
        <f>+[6]Identificacion!B6</f>
        <v>GESTIÓN DEL TALENTO HUMANO</v>
      </c>
      <c r="C11" s="22"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22" t="str">
        <f>+[6]Identificacion!D6</f>
        <v xml:space="preserve">1. Manejo unipersonal del programa de nómina
2. Recursos insuficientes.
3. Errores en reportes de novedades.
4. Fallas técnicas del sistema.
</v>
      </c>
      <c r="E11" s="22" t="str">
        <f>+[6]Identificacion!E6</f>
        <v xml:space="preserve">Liquidación inexacta y/o no oportuna de salarios, prestaciones sociales, aportes parafiscales, etc. 
</v>
      </c>
      <c r="F11" s="22" t="str">
        <f>+[6]Identificacion!F6</f>
        <v xml:space="preserve">1. Sanciones fiscales por pagos extemporáneos.
2. Detrimento patrimonial.
3. Sanciones disciplinarias
</v>
      </c>
      <c r="G11" s="23">
        <f>+[6]Probabilidad!E16</f>
        <v>1</v>
      </c>
      <c r="H11" s="23">
        <f>+'[6]Impacto '!D8</f>
        <v>5</v>
      </c>
      <c r="I11" s="23">
        <f t="shared" si="0"/>
        <v>5</v>
      </c>
      <c r="J11" s="82" t="str">
        <f>+'[6]Calificación de Riesgos'!H7</f>
        <v>EXTREMA</v>
      </c>
      <c r="K11" s="22" t="s">
        <v>145</v>
      </c>
      <c r="L11" s="23">
        <v>1</v>
      </c>
      <c r="M11" s="23">
        <v>3</v>
      </c>
      <c r="N11" s="23">
        <f t="shared" si="1"/>
        <v>3</v>
      </c>
      <c r="O11" s="80" t="str">
        <f>+'[6]Calificación de Riesgos'!H9</f>
        <v>MODERADA</v>
      </c>
      <c r="P11" s="18" t="s">
        <v>7</v>
      </c>
      <c r="Q11" s="22" t="s">
        <v>146</v>
      </c>
      <c r="R11" s="21" t="s">
        <v>147</v>
      </c>
      <c r="S11" s="20">
        <v>43132</v>
      </c>
      <c r="T11" s="20">
        <v>43814</v>
      </c>
      <c r="U11" s="19" t="s">
        <v>141</v>
      </c>
      <c r="V11" s="18" t="s">
        <v>494</v>
      </c>
      <c r="W11" s="18" t="s">
        <v>495</v>
      </c>
      <c r="X11" s="18" t="s">
        <v>467</v>
      </c>
      <c r="Y11" s="18" t="s">
        <v>468</v>
      </c>
      <c r="Z11" s="18" t="s">
        <v>448</v>
      </c>
      <c r="AA11" s="18" t="s">
        <v>448</v>
      </c>
      <c r="AB11" s="18"/>
      <c r="AC11" s="18"/>
      <c r="AD11" s="18"/>
      <c r="AE11" s="18"/>
      <c r="AF11" s="18"/>
      <c r="AG11" s="18"/>
      <c r="AH11" s="18"/>
      <c r="AI11" s="18"/>
    </row>
    <row r="12" spans="1:35" s="17" customFormat="1" ht="148.5" x14ac:dyDescent="0.25">
      <c r="A12" s="23">
        <v>4</v>
      </c>
      <c r="B12" s="22" t="str">
        <f>+[6]Identificacion!B7</f>
        <v>GESTIÓN DEL TALENTO HUMANO</v>
      </c>
      <c r="C12" s="22"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22" t="str">
        <f>+[6]Identificacion!D7</f>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
      <c r="E12" s="22" t="str">
        <f>+[6]Identificacion!E7</f>
        <v>Historias laborales incompletas</v>
      </c>
      <c r="F12" s="22" t="str">
        <f>+[6]Identificacion!F7</f>
        <v xml:space="preserve">1. Sanciones disciplinarias al custodio.
2. Hallazgos en auditorías.
3. Alteración en la prestación del servicio por demoras en la búsqueda de los documentos.
4. Reprocesos en el manejo de la información.                             
</v>
      </c>
      <c r="G12" s="23">
        <f>+[6]Probabilidad!E17</f>
        <v>2</v>
      </c>
      <c r="H12" s="23">
        <f>+'[6]Impacto '!D9</f>
        <v>4</v>
      </c>
      <c r="I12" s="23">
        <f t="shared" si="0"/>
        <v>8</v>
      </c>
      <c r="J12" s="79" t="str">
        <f>IF(AND(I12&gt;=0,I12&lt;=4),'[6]Calificación de Riesgos'!$H$10,IF(I12&lt;7,'[6]Calificación de Riesgos'!$H$9,IF(I12&lt;13,'[6]Calificación de Riesgos'!$H$8,IF(I12&lt;=25,'[6]Calificación de Riesgos'!$H$7))))</f>
        <v>ALTA</v>
      </c>
      <c r="K12" s="22" t="s">
        <v>148</v>
      </c>
      <c r="L12" s="23">
        <v>2</v>
      </c>
      <c r="M12" s="23">
        <v>2</v>
      </c>
      <c r="N12" s="23">
        <f t="shared" si="1"/>
        <v>4</v>
      </c>
      <c r="O12" s="81" t="str">
        <f>IF(AND(N12&gt;=0,N12&lt;=4),'[6]Calificación de Riesgos'!$H$10,IF(N12&lt;7,'[6]Calificación de Riesgos'!$H$9,IF(N12&lt;13,'[6]Calificación de Riesgos'!$H$8,IF(N12&lt;=25,'[6]Calificación de Riesgos'!$H$7))))</f>
        <v>BAJA</v>
      </c>
      <c r="P12" s="18" t="s">
        <v>7</v>
      </c>
      <c r="Q12" s="22" t="s">
        <v>149</v>
      </c>
      <c r="R12" s="21" t="s">
        <v>150</v>
      </c>
      <c r="S12" s="20">
        <v>43132</v>
      </c>
      <c r="T12" s="20">
        <v>43814</v>
      </c>
      <c r="U12" s="19" t="s">
        <v>141</v>
      </c>
      <c r="V12" s="18" t="s">
        <v>496</v>
      </c>
      <c r="W12" s="18" t="s">
        <v>497</v>
      </c>
      <c r="X12" s="18" t="s">
        <v>467</v>
      </c>
      <c r="Y12" s="18" t="s">
        <v>468</v>
      </c>
      <c r="Z12" s="18" t="s">
        <v>448</v>
      </c>
      <c r="AA12" s="18" t="s">
        <v>448</v>
      </c>
      <c r="AB12" s="18"/>
      <c r="AC12" s="18"/>
      <c r="AD12" s="18"/>
      <c r="AE12" s="18"/>
      <c r="AF12" s="18"/>
      <c r="AG12" s="18"/>
      <c r="AH12" s="18"/>
      <c r="AI12" s="18"/>
    </row>
    <row r="13" spans="1:35" s="17" customFormat="1" ht="148.5" x14ac:dyDescent="0.25">
      <c r="A13" s="23">
        <v>5</v>
      </c>
      <c r="B13" s="22" t="str">
        <f>+[6]Identificacion!B8</f>
        <v>GESTIÓN DEL TALENTO HUMANO</v>
      </c>
      <c r="C13" s="22"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22" t="str">
        <f>+[6]Identificacion!D8</f>
        <v>1. Falta de presupuesto para la ejecución de las actividades que se deben llevar a cabo de conformidad con la normatividad.                                                                        2. Personal insuficiente para el cumplimiento de las actividades.                                                                           3. Desconocimiento de la normatividad.</v>
      </c>
      <c r="E13" s="22" t="str">
        <f>+[6]Identificacion!E8</f>
        <v>Incumplimiento de las políticas del Sistema de Gestión de Seguridad y Salud en el Trabajo SGSST</v>
      </c>
      <c r="F13" s="22" t="str">
        <f>+[6]Identificacion!F8</f>
        <v>1. Sanciones disciplinarias.                                                      2. Sanciones por parte del Ministerio de Trabajo.                     3. Ocurrencia de accidentes laborales.</v>
      </c>
      <c r="G13" s="23">
        <f>+[6]Probabilidad!E18</f>
        <v>1</v>
      </c>
      <c r="H13" s="23">
        <f>+'[6]Impacto '!D10</f>
        <v>5</v>
      </c>
      <c r="I13" s="23">
        <f t="shared" si="0"/>
        <v>5</v>
      </c>
      <c r="J13" s="82" t="str">
        <f>+'[6]Calificación de Riesgos'!H7</f>
        <v>EXTREMA</v>
      </c>
      <c r="K13" s="22" t="s">
        <v>151</v>
      </c>
      <c r="L13" s="23">
        <v>1</v>
      </c>
      <c r="M13" s="23">
        <v>3</v>
      </c>
      <c r="N13" s="23">
        <f t="shared" si="1"/>
        <v>3</v>
      </c>
      <c r="O13" s="80" t="str">
        <f>+'[6]Calificación de Riesgos'!H9</f>
        <v>MODERADA</v>
      </c>
      <c r="P13" s="18" t="s">
        <v>7</v>
      </c>
      <c r="Q13" s="22" t="s">
        <v>152</v>
      </c>
      <c r="R13" s="21" t="s">
        <v>153</v>
      </c>
      <c r="S13" s="20">
        <v>43132</v>
      </c>
      <c r="T13" s="20">
        <v>43814</v>
      </c>
      <c r="U13" s="19" t="s">
        <v>141</v>
      </c>
      <c r="V13" s="18" t="s">
        <v>498</v>
      </c>
      <c r="W13" s="18" t="s">
        <v>499</v>
      </c>
      <c r="X13" s="18" t="s">
        <v>467</v>
      </c>
      <c r="Y13" s="18" t="s">
        <v>468</v>
      </c>
      <c r="Z13" s="18" t="s">
        <v>448</v>
      </c>
      <c r="AA13" s="18" t="s">
        <v>448</v>
      </c>
      <c r="AB13" s="18"/>
      <c r="AC13" s="18"/>
      <c r="AD13" s="18"/>
      <c r="AE13" s="18"/>
      <c r="AF13" s="18"/>
      <c r="AG13" s="18"/>
      <c r="AH13" s="18"/>
      <c r="AI13" s="18"/>
    </row>
    <row r="14" spans="1:35" ht="409.5" x14ac:dyDescent="0.3">
      <c r="A14" s="23">
        <v>6</v>
      </c>
      <c r="B14" s="22" t="str">
        <f>+[6]Identificacion!B9</f>
        <v>GESTIÓN DEL TALENTO HUMANO - CONTROL INTERNO DISCIPLINARIO</v>
      </c>
      <c r="C14" s="22"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22" t="str">
        <f>+[6]Identificacion!D9</f>
        <v>1. Falencias en el seguimiento de los procesos disciplinarios en curso.
2. Información desactualizada en el Sistema de Información Disciplinaria SID.</v>
      </c>
      <c r="E14" s="22" t="str">
        <f>+[6]Identificacion!E9</f>
        <v>Dilación de las actuaciones procesales, o acaecimiento de prescripciones o caducidades</v>
      </c>
      <c r="F14" s="22" t="str">
        <f>+[6]Identificacion!F9</f>
        <v>1. Investigaciones y sanciones por parte de los órganos de control.      
2. Pérdida de Imagen y credibilidad.          
3. Imposibilidad o retraso en la adopción de decisiones de fondo.</v>
      </c>
      <c r="G14" s="23">
        <f>+[6]Probabilidad!E19</f>
        <v>4</v>
      </c>
      <c r="H14" s="23">
        <f>+'[6]Impacto '!D11</f>
        <v>3</v>
      </c>
      <c r="J14" s="79" t="str">
        <f>+'[6]Calificación de Riesgos'!H8</f>
        <v>ALTA</v>
      </c>
      <c r="K14" s="67" t="s">
        <v>154</v>
      </c>
      <c r="L14" s="23">
        <v>2</v>
      </c>
      <c r="M14" s="23">
        <v>3</v>
      </c>
      <c r="N14" s="23">
        <f t="shared" si="1"/>
        <v>6</v>
      </c>
      <c r="O14" s="80" t="str">
        <f>+'[6]Calificación de Riesgos'!H9</f>
        <v>MODERADA</v>
      </c>
      <c r="P14" s="18" t="s">
        <v>7</v>
      </c>
      <c r="Q14" s="22" t="s">
        <v>155</v>
      </c>
      <c r="R14" s="21" t="s">
        <v>156</v>
      </c>
      <c r="S14" s="109">
        <v>43132</v>
      </c>
      <c r="T14" s="109">
        <v>43814</v>
      </c>
      <c r="U14" s="19" t="s">
        <v>440</v>
      </c>
      <c r="V14" s="113" t="s">
        <v>500</v>
      </c>
      <c r="W14" s="18" t="s">
        <v>501</v>
      </c>
      <c r="X14" s="18" t="s">
        <v>467</v>
      </c>
      <c r="Y14" s="122" t="s">
        <v>502</v>
      </c>
      <c r="Z14" s="18" t="s">
        <v>503</v>
      </c>
      <c r="AA14" s="18" t="s">
        <v>448</v>
      </c>
      <c r="AB14" s="18"/>
      <c r="AC14" s="18"/>
      <c r="AD14" s="18"/>
      <c r="AE14" s="18"/>
      <c r="AF14" s="18"/>
      <c r="AG14" s="18"/>
      <c r="AH14" s="18"/>
      <c r="AI14" s="18"/>
    </row>
    <row r="15" spans="1:35" ht="99" x14ac:dyDescent="0.3">
      <c r="A15" s="157">
        <v>7</v>
      </c>
      <c r="B15" s="186" t="str">
        <f>+[6]Identificacion!B10</f>
        <v>GESTIÓN DEL TALENTO HUMANO - CONTROL INTERNO DISCIPLINARIO</v>
      </c>
      <c r="C15" s="186"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86" t="str">
        <f>+[6]Identificacion!D10</f>
        <v>1. Falta de conocimiento y de aplicación correcta de la norma que regula una situación especifica dentro del proceso disciplinario.
2. Alta rotación de personal</v>
      </c>
      <c r="E15" s="186" t="str">
        <f>+[6]Identificacion!E10</f>
        <v>Toma de decisiones erróneas al momento de adoptar las decisiones correspondientes dentro del trámite de la actuación procesal</v>
      </c>
      <c r="F15" s="186" t="str">
        <f>+[6]Identificacion!F10</f>
        <v>Pérdida de Imagen y credibilidad. Revocatorias. Demandas contra la entidad. Investigaciones y sanciones por parte de los órgano de control.</v>
      </c>
      <c r="G15" s="157">
        <f>+[6]Probabilidad!E20</f>
        <v>2</v>
      </c>
      <c r="H15" s="157">
        <f>+'[6]Impacto '!D12</f>
        <v>3</v>
      </c>
      <c r="J15" s="188" t="str">
        <f>+'[6]Calificación de Riesgos'!H9</f>
        <v>MODERADA</v>
      </c>
      <c r="K15" s="163" t="s">
        <v>157</v>
      </c>
      <c r="L15" s="157">
        <v>1</v>
      </c>
      <c r="M15" s="157">
        <v>3</v>
      </c>
      <c r="N15" s="23">
        <f t="shared" si="1"/>
        <v>3</v>
      </c>
      <c r="O15" s="188" t="str">
        <f>+'[6]Calificación de Riesgos'!H9</f>
        <v>MODERADA</v>
      </c>
      <c r="P15" s="157" t="s">
        <v>7</v>
      </c>
      <c r="Q15" s="22" t="s">
        <v>158</v>
      </c>
      <c r="R15" s="21" t="s">
        <v>159</v>
      </c>
      <c r="S15" s="109">
        <v>43497</v>
      </c>
      <c r="T15" s="109">
        <v>43814</v>
      </c>
      <c r="U15" s="111" t="s">
        <v>440</v>
      </c>
      <c r="V15" s="18" t="s">
        <v>504</v>
      </c>
      <c r="W15" s="18" t="s">
        <v>505</v>
      </c>
      <c r="X15" s="18" t="s">
        <v>467</v>
      </c>
      <c r="Y15" s="172" t="s">
        <v>506</v>
      </c>
      <c r="Z15" s="169" t="s">
        <v>507</v>
      </c>
      <c r="AA15" s="18" t="s">
        <v>448</v>
      </c>
      <c r="AB15" s="18"/>
      <c r="AC15" s="18"/>
      <c r="AD15" s="18"/>
      <c r="AE15" s="18"/>
      <c r="AF15" s="18"/>
      <c r="AG15" s="18"/>
      <c r="AH15" s="18"/>
      <c r="AI15" s="18"/>
    </row>
    <row r="16" spans="1:35" ht="181.5" x14ac:dyDescent="0.3">
      <c r="A16" s="158"/>
      <c r="B16" s="187"/>
      <c r="C16" s="187"/>
      <c r="D16" s="187"/>
      <c r="E16" s="187"/>
      <c r="F16" s="187"/>
      <c r="G16" s="158"/>
      <c r="H16" s="158"/>
      <c r="J16" s="189"/>
      <c r="K16" s="164"/>
      <c r="L16" s="158"/>
      <c r="M16" s="158"/>
      <c r="N16" s="74"/>
      <c r="O16" s="189"/>
      <c r="P16" s="158"/>
      <c r="Q16" s="22" t="s">
        <v>160</v>
      </c>
      <c r="R16" s="21" t="s">
        <v>161</v>
      </c>
      <c r="S16" s="109">
        <v>43497</v>
      </c>
      <c r="T16" s="109">
        <v>43646</v>
      </c>
      <c r="U16" s="111" t="s">
        <v>440</v>
      </c>
      <c r="V16" s="113" t="s">
        <v>508</v>
      </c>
      <c r="W16" s="113" t="s">
        <v>509</v>
      </c>
      <c r="X16" s="18" t="s">
        <v>467</v>
      </c>
      <c r="Y16" s="173"/>
      <c r="Z16" s="170"/>
      <c r="AA16" s="18" t="s">
        <v>448</v>
      </c>
      <c r="AB16" s="18"/>
      <c r="AC16" s="18"/>
      <c r="AD16" s="18"/>
      <c r="AE16" s="18"/>
      <c r="AF16" s="18"/>
      <c r="AG16" s="18"/>
      <c r="AH16" s="18"/>
      <c r="AI16" s="18"/>
    </row>
    <row r="17" spans="1:35" ht="99" x14ac:dyDescent="0.3">
      <c r="A17" s="158"/>
      <c r="B17" s="187"/>
      <c r="C17" s="187"/>
      <c r="D17" s="187"/>
      <c r="E17" s="187"/>
      <c r="F17" s="187"/>
      <c r="G17" s="158"/>
      <c r="H17" s="158"/>
      <c r="J17" s="189"/>
      <c r="K17" s="164"/>
      <c r="L17" s="158"/>
      <c r="M17" s="158"/>
      <c r="N17" s="74"/>
      <c r="O17" s="189"/>
      <c r="P17" s="158"/>
      <c r="Q17" s="22" t="s">
        <v>162</v>
      </c>
      <c r="R17" s="21" t="s">
        <v>163</v>
      </c>
      <c r="S17" s="109">
        <v>43479</v>
      </c>
      <c r="T17" s="109">
        <v>43814</v>
      </c>
      <c r="U17" s="111" t="s">
        <v>440</v>
      </c>
      <c r="V17" s="18" t="s">
        <v>510</v>
      </c>
      <c r="W17" s="18" t="s">
        <v>511</v>
      </c>
      <c r="X17" s="18" t="s">
        <v>467</v>
      </c>
      <c r="Y17" s="174"/>
      <c r="Z17" s="171"/>
      <c r="AA17" s="18" t="s">
        <v>448</v>
      </c>
      <c r="AB17" s="18"/>
      <c r="AC17" s="18"/>
      <c r="AD17" s="18"/>
      <c r="AE17" s="18"/>
      <c r="AF17" s="18"/>
      <c r="AG17" s="18"/>
      <c r="AH17" s="18"/>
      <c r="AI17" s="18"/>
    </row>
    <row r="18" spans="1:35" ht="82.5" x14ac:dyDescent="0.3">
      <c r="A18" s="191">
        <v>8</v>
      </c>
      <c r="B18" s="190" t="str">
        <f>+[6]Identificacion!B11</f>
        <v>GESTIÓN DEL TALENTO HUMANO - CONTROL INTERNO DISCIPLINARIO</v>
      </c>
      <c r="C18" s="190"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190" t="str">
        <f>+[6]Identificacion!D11</f>
        <v>1. Falencia en los controles institucionales, para ejercer la vigilancia o custodia de los expedientes.
2. Debilidades en la implementación de digitalización de los documentos que conforman los expedientes.</v>
      </c>
      <c r="E18" s="190" t="str">
        <f>+[6]Identificacion!E11</f>
        <v>Sustracción o destrucción de expedientes, pérdida de documentos, y violación de la reserva legal.</v>
      </c>
      <c r="F18" s="190" t="str">
        <f>+[6]Identificacion!F11</f>
        <v xml:space="preserve">1. Investigaciones y sanciones por parte de los órganos de control.        
2. Pérdida de Imagen y credibilidad. </v>
      </c>
      <c r="G18" s="191">
        <f>+[6]Probabilidad!E21</f>
        <v>2</v>
      </c>
      <c r="H18" s="191">
        <f>+'[6]Impacto '!D13</f>
        <v>3</v>
      </c>
      <c r="I18" s="77"/>
      <c r="J18" s="192" t="str">
        <f>+'[6]Calificación de Riesgos'!H9</f>
        <v>MODERADA</v>
      </c>
      <c r="K18" s="193" t="s">
        <v>164</v>
      </c>
      <c r="L18" s="191">
        <v>1</v>
      </c>
      <c r="M18" s="191">
        <v>3</v>
      </c>
      <c r="N18" s="23">
        <f t="shared" si="1"/>
        <v>3</v>
      </c>
      <c r="O18" s="192" t="str">
        <f>+'[6]Calificación de Riesgos'!H9</f>
        <v>MODERADA</v>
      </c>
      <c r="P18" s="191" t="s">
        <v>7</v>
      </c>
      <c r="Q18" s="22" t="s">
        <v>165</v>
      </c>
      <c r="R18" s="21" t="s">
        <v>166</v>
      </c>
      <c r="S18" s="109">
        <v>43497</v>
      </c>
      <c r="T18" s="109">
        <v>43814</v>
      </c>
      <c r="U18" s="111" t="s">
        <v>440</v>
      </c>
      <c r="V18" s="18" t="s">
        <v>512</v>
      </c>
      <c r="W18" s="18" t="s">
        <v>513</v>
      </c>
      <c r="X18" s="18" t="s">
        <v>467</v>
      </c>
      <c r="Y18" s="172" t="s">
        <v>506</v>
      </c>
      <c r="Z18" s="169" t="s">
        <v>507</v>
      </c>
      <c r="AA18" s="18" t="s">
        <v>448</v>
      </c>
      <c r="AB18" s="18"/>
      <c r="AC18" s="18"/>
      <c r="AD18" s="18"/>
      <c r="AE18" s="18"/>
      <c r="AF18" s="18"/>
      <c r="AG18" s="18"/>
      <c r="AH18" s="18"/>
      <c r="AI18" s="18"/>
    </row>
    <row r="19" spans="1:35" ht="99" x14ac:dyDescent="0.3">
      <c r="A19" s="191"/>
      <c r="B19" s="190"/>
      <c r="C19" s="190"/>
      <c r="D19" s="190"/>
      <c r="E19" s="190"/>
      <c r="F19" s="190"/>
      <c r="G19" s="191"/>
      <c r="H19" s="191"/>
      <c r="I19" s="77"/>
      <c r="J19" s="192"/>
      <c r="K19" s="193"/>
      <c r="L19" s="191"/>
      <c r="M19" s="191"/>
      <c r="N19" s="77"/>
      <c r="O19" s="192"/>
      <c r="P19" s="191"/>
      <c r="Q19" s="22" t="s">
        <v>167</v>
      </c>
      <c r="R19" s="21" t="s">
        <v>168</v>
      </c>
      <c r="S19" s="109">
        <v>43497</v>
      </c>
      <c r="T19" s="109">
        <v>43814</v>
      </c>
      <c r="U19" s="111" t="s">
        <v>440</v>
      </c>
      <c r="V19" s="113" t="s">
        <v>514</v>
      </c>
      <c r="W19" s="18" t="s">
        <v>515</v>
      </c>
      <c r="X19" s="18" t="s">
        <v>467</v>
      </c>
      <c r="Y19" s="173"/>
      <c r="Z19" s="170"/>
      <c r="AA19" s="18" t="s">
        <v>448</v>
      </c>
      <c r="AB19" s="18"/>
      <c r="AC19" s="18"/>
      <c r="AD19" s="18"/>
      <c r="AE19" s="18"/>
      <c r="AF19" s="18"/>
      <c r="AG19" s="18"/>
      <c r="AH19" s="18"/>
      <c r="AI19" s="18"/>
    </row>
    <row r="20" spans="1:35" ht="82.5" x14ac:dyDescent="0.3">
      <c r="A20" s="191"/>
      <c r="B20" s="190"/>
      <c r="C20" s="190"/>
      <c r="D20" s="190"/>
      <c r="E20" s="190"/>
      <c r="F20" s="190"/>
      <c r="G20" s="191"/>
      <c r="H20" s="191"/>
      <c r="I20" s="77"/>
      <c r="J20" s="192"/>
      <c r="K20" s="193"/>
      <c r="L20" s="191"/>
      <c r="M20" s="191"/>
      <c r="N20" s="77"/>
      <c r="O20" s="192"/>
      <c r="P20" s="191"/>
      <c r="Q20" s="22" t="s">
        <v>169</v>
      </c>
      <c r="R20" s="21" t="s">
        <v>170</v>
      </c>
      <c r="S20" s="109">
        <v>43497</v>
      </c>
      <c r="T20" s="109">
        <v>43814</v>
      </c>
      <c r="U20" s="111" t="s">
        <v>440</v>
      </c>
      <c r="V20" s="113" t="s">
        <v>516</v>
      </c>
      <c r="W20" s="113" t="s">
        <v>517</v>
      </c>
      <c r="X20" s="18" t="s">
        <v>467</v>
      </c>
      <c r="Y20" s="174"/>
      <c r="Z20" s="171"/>
      <c r="AA20" s="18" t="s">
        <v>448</v>
      </c>
      <c r="AB20" s="18"/>
      <c r="AC20" s="18"/>
      <c r="AD20" s="18"/>
      <c r="AE20" s="18"/>
      <c r="AF20" s="18"/>
      <c r="AG20" s="18"/>
      <c r="AH20" s="18"/>
      <c r="AI20" s="18"/>
    </row>
  </sheetData>
  <mergeCells count="42">
    <mergeCell ref="Y15:Y17"/>
    <mergeCell ref="Z15:Z17"/>
    <mergeCell ref="Y18:Y20"/>
    <mergeCell ref="Z18:Z20"/>
    <mergeCell ref="A1:AA5"/>
    <mergeCell ref="J18:J20"/>
    <mergeCell ref="K18:K20"/>
    <mergeCell ref="L18:L20"/>
    <mergeCell ref="M18:M20"/>
    <mergeCell ref="O18:O20"/>
    <mergeCell ref="P18:P20"/>
    <mergeCell ref="O15:O17"/>
    <mergeCell ref="P15:P17"/>
    <mergeCell ref="A18:A20"/>
    <mergeCell ref="B18:B20"/>
    <mergeCell ref="C18:C20"/>
    <mergeCell ref="D18:D20"/>
    <mergeCell ref="E18:E20"/>
    <mergeCell ref="F18:F20"/>
    <mergeCell ref="G18:G20"/>
    <mergeCell ref="H18:H20"/>
    <mergeCell ref="AB6:AI7"/>
    <mergeCell ref="G7:J7"/>
    <mergeCell ref="L7:M7"/>
    <mergeCell ref="O7:P7"/>
    <mergeCell ref="V6:AA7"/>
    <mergeCell ref="F15:F17"/>
    <mergeCell ref="A6:F7"/>
    <mergeCell ref="G6:J6"/>
    <mergeCell ref="L6:P6"/>
    <mergeCell ref="Q6:U7"/>
    <mergeCell ref="A15:A17"/>
    <mergeCell ref="B15:B17"/>
    <mergeCell ref="C15:C17"/>
    <mergeCell ref="D15:D17"/>
    <mergeCell ref="E15:E17"/>
    <mergeCell ref="M15:M17"/>
    <mergeCell ref="G15:G17"/>
    <mergeCell ref="H15:H17"/>
    <mergeCell ref="J15:J17"/>
    <mergeCell ref="K15:K17"/>
    <mergeCell ref="L15:L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23C37C25-DC8C-4803-A6C5-E8FAA893DE83}">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C000"/>
                </patternFill>
              </fill>
            </x14:dxf>
          </x14:cfRule>
          <x14:cfRule type="containsText" priority="27" operator="containsText" id="{637E796C-2D8E-45B1-BC5F-DD247CD423EB}">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0000"/>
                </patternFill>
              </fill>
            </x14:dxf>
          </x14:cfRule>
          <x14:cfRule type="containsText" priority="28" operator="containsText" id="{58161923-9F04-41A2-BA70-AA9941FFBA46}">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x14:cfRule>
          <x14:cfRule type="containsText" priority="29" operator="containsText" id="{2ADBF0B6-D9C7-44D1-88B5-6CF2482A9A77}">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FF00"/>
                </patternFill>
              </fill>
            </x14:dxf>
          </x14:cfRule>
          <x14:cfRule type="containsText" priority="30" operator="containsText" id="{5F2E0FD7-718B-4ED2-9BC2-D5295A1119F5}">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00B050"/>
                </patternFill>
              </fill>
            </x14:dxf>
          </x14:cfRule>
          <xm:sqref>J9:J10</xm:sqref>
        </x14:conditionalFormatting>
        <x14:conditionalFormatting xmlns:xm="http://schemas.microsoft.com/office/excel/2006/main">
          <x14:cfRule type="containsText" priority="21" operator="containsText" id="{7422F2E2-1E56-4FCA-A870-4129D910A708}">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C000"/>
                </patternFill>
              </fill>
            </x14:dxf>
          </x14:cfRule>
          <x14:cfRule type="containsText" priority="22" operator="containsText" id="{A41659BB-26BA-4361-917F-149468105342}">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0000"/>
                </patternFill>
              </fill>
            </x14:dxf>
          </x14:cfRule>
          <x14:cfRule type="containsText" priority="23" operator="containsText" id="{F422BAF6-9DA3-47EB-86BB-DEE4B89F18E5}">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x14:cfRule>
          <x14:cfRule type="containsText" priority="24" operator="containsText" id="{EDDFC7B4-4CC7-4673-835D-60E4E1F2A5AE}">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FF00"/>
                </patternFill>
              </fill>
            </x14:dxf>
          </x14:cfRule>
          <x14:cfRule type="containsText" priority="25" operator="containsText" id="{1A63FCE8-9ADD-406F-BDBF-1DC29186E364}">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00B050"/>
                </patternFill>
              </fill>
            </x14:dxf>
          </x14:cfRule>
          <xm:sqref>O9:O12</xm:sqref>
        </x14:conditionalFormatting>
        <x14:conditionalFormatting xmlns:xm="http://schemas.microsoft.com/office/excel/2006/main">
          <x14:cfRule type="containsText" priority="16" operator="containsText" id="{9A7A6CCB-80C2-419D-9437-99182A43624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C000"/>
                </patternFill>
              </fill>
            </x14:dxf>
          </x14:cfRule>
          <x14:cfRule type="containsText" priority="17" operator="containsText" id="{04767EF6-7DC2-4B51-A8FA-5F140013E0E2}">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0000"/>
                </patternFill>
              </fill>
            </x14:dxf>
          </x14:cfRule>
          <x14:cfRule type="containsText" priority="18" operator="containsText" id="{44F518F8-2E27-48D9-8237-8E1A8DD5BD98}">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x14:cfRule>
          <x14:cfRule type="containsText" priority="19" operator="containsText" id="{46C46674-1D27-400F-8000-FCD9AA45079F}">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FF00"/>
                </patternFill>
              </fill>
            </x14:dxf>
          </x14:cfRule>
          <x14:cfRule type="containsText" priority="20" operator="containsText" id="{60C83CEA-6C37-4DA3-9CDF-4C2B4C59895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00B050"/>
                </patternFill>
              </fill>
            </x14:dxf>
          </x14:cfRule>
          <xm:sqref>J11:J13</xm:sqref>
        </x14:conditionalFormatting>
        <x14:conditionalFormatting xmlns:xm="http://schemas.microsoft.com/office/excel/2006/main">
          <x14:cfRule type="containsText" priority="11" operator="containsText" id="{D7BA9017-C56D-437D-B4EE-1D20E34AE72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C000"/>
                </patternFill>
              </fill>
            </x14:dxf>
          </x14:cfRule>
          <x14:cfRule type="containsText" priority="12" operator="containsText" id="{A87D7822-B4E9-48A3-B9F3-49F0822702A2}">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0000"/>
                </patternFill>
              </fill>
            </x14:dxf>
          </x14:cfRule>
          <x14:cfRule type="containsText" priority="13" operator="containsText" id="{9783C996-4EF0-445C-9B4D-3ECA2BC949E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x14:cfRule>
          <x14:cfRule type="containsText" priority="14" operator="containsText" id="{4103197B-5A0F-4211-B5AA-6DBE01B3C436}">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FF00"/>
                </patternFill>
              </fill>
            </x14:dxf>
          </x14:cfRule>
          <x14:cfRule type="containsText" priority="15" operator="containsText" id="{061CF331-37C1-49B2-AD09-A841B02B0F2D}">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00B050"/>
                </patternFill>
              </fill>
            </x14:dxf>
          </x14:cfRule>
          <xm:sqref>O13</xm:sqref>
        </x14:conditionalFormatting>
        <x14:conditionalFormatting xmlns:xm="http://schemas.microsoft.com/office/excel/2006/main">
          <x14:cfRule type="containsText" priority="6" operator="containsText" id="{B5864E45-D5EC-4300-82F0-43F4B594289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C000"/>
                </patternFill>
              </fill>
            </x14:dxf>
          </x14:cfRule>
          <x14:cfRule type="containsText" priority="7" operator="containsText" id="{FBC1F405-5FEE-436C-8EB3-52E9E68ADF7B}">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0000"/>
                </patternFill>
              </fill>
            </x14:dxf>
          </x14:cfRule>
          <x14:cfRule type="containsText" priority="8" operator="containsText" id="{423820DE-5D5D-45FE-BECD-8C309AB11C5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x14:cfRule>
          <x14:cfRule type="containsText" priority="9" operator="containsText" id="{0F7C78CE-E723-4DBF-9C7B-19129A85D8A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FF00"/>
                </patternFill>
              </fill>
            </x14:dxf>
          </x14:cfRule>
          <x14:cfRule type="containsText" priority="10" operator="containsText" id="{D05C0B82-E515-49E1-B697-1287044D8C03}">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00B050"/>
                </patternFill>
              </fill>
            </x14:dxf>
          </x14:cfRule>
          <xm:sqref>J14:J16 J18</xm:sqref>
        </x14:conditionalFormatting>
        <x14:conditionalFormatting xmlns:xm="http://schemas.microsoft.com/office/excel/2006/main">
          <x14:cfRule type="containsText" priority="1" operator="containsText" id="{A68D3D7E-62A9-4BA8-8F68-CF173CF8E20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C000"/>
                </patternFill>
              </fill>
            </x14:dxf>
          </x14:cfRule>
          <x14:cfRule type="containsText" priority="2" operator="containsText" id="{6C87BED2-1D62-435C-9D44-5D47697FA856}">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0000"/>
                </patternFill>
              </fill>
            </x14:dxf>
          </x14:cfRule>
          <x14:cfRule type="containsText" priority="3" operator="containsText" id="{B1223FE8-16A1-43A5-91FD-1A37A8067A34}">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x14:cfRule>
          <x14:cfRule type="containsText" priority="4" operator="containsText" id="{72B8994B-A353-4CCB-B9F9-7FEEB10D9EED}">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FF00"/>
                </patternFill>
              </fill>
            </x14:dxf>
          </x14:cfRule>
          <x14:cfRule type="containsText" priority="5" operator="containsText" id="{52873581-2DB6-42D8-9518-DFE63F05A43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00B050"/>
                </patternFill>
              </fill>
            </x14:dxf>
          </x14:cfRule>
          <xm:sqref>O14:O16 O18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P9:P12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9"/>
  <sheetViews>
    <sheetView zoomScale="75" zoomScaleNormal="75" workbookViewId="0">
      <selection activeCell="A9" sqref="A9:A11"/>
    </sheetView>
  </sheetViews>
  <sheetFormatPr baseColWidth="10" defaultRowHeight="16.5" x14ac:dyDescent="0.3"/>
  <cols>
    <col min="1" max="1" width="11.42578125" style="14"/>
    <col min="2" max="2" width="19.28515625" style="16" customWidth="1"/>
    <col min="3" max="3" width="43.28515625" style="14" customWidth="1"/>
    <col min="4" max="4" width="59"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55.140625" style="14" customWidth="1"/>
    <col min="23" max="23" width="53.7109375" style="14" customWidth="1"/>
    <col min="24" max="24" width="20.7109375" style="14" customWidth="1"/>
    <col min="25" max="25" width="17.28515625" style="14" customWidth="1"/>
    <col min="26" max="26" width="22.140625" style="14" customWidth="1"/>
    <col min="27" max="27" width="31.28515625" style="14" customWidth="1"/>
    <col min="28" max="35" width="0" style="14" hidden="1" customWidth="1"/>
    <col min="36" max="16384" width="11.42578125" style="14"/>
  </cols>
  <sheetData>
    <row r="1" spans="1:35" ht="16.5" customHeight="1" x14ac:dyDescent="0.3">
      <c r="A1" s="177" t="s">
        <v>221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35"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35"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35"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35"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49" t="s">
        <v>54</v>
      </c>
      <c r="W6" s="150"/>
      <c r="X6" s="150"/>
      <c r="Y6" s="150"/>
      <c r="Z6" s="150"/>
      <c r="AA6" s="151"/>
      <c r="AB6" s="149" t="s">
        <v>53</v>
      </c>
      <c r="AC6" s="150"/>
      <c r="AD6" s="150"/>
      <c r="AE6" s="150"/>
      <c r="AF6" s="150"/>
      <c r="AG6" s="150"/>
      <c r="AH6" s="150"/>
      <c r="AI6" s="151"/>
    </row>
    <row r="7" spans="1:35"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2"/>
      <c r="W7" s="153"/>
      <c r="X7" s="153"/>
      <c r="Y7" s="153"/>
      <c r="Z7" s="153"/>
      <c r="AA7" s="154"/>
      <c r="AB7" s="152"/>
      <c r="AC7" s="153"/>
      <c r="AD7" s="153"/>
      <c r="AE7" s="153"/>
      <c r="AF7" s="153"/>
      <c r="AG7" s="153"/>
      <c r="AH7" s="153"/>
      <c r="AI7" s="154"/>
    </row>
    <row r="8" spans="1:35"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c r="AB8" s="26" t="s">
        <v>26</v>
      </c>
      <c r="AC8" s="26" t="s">
        <v>25</v>
      </c>
      <c r="AD8" s="26" t="s">
        <v>24</v>
      </c>
      <c r="AE8" s="26" t="s">
        <v>23</v>
      </c>
      <c r="AF8" s="26" t="s">
        <v>22</v>
      </c>
      <c r="AG8" s="26" t="s">
        <v>21</v>
      </c>
      <c r="AH8" s="26" t="s">
        <v>20</v>
      </c>
      <c r="AI8" s="26" t="s">
        <v>19</v>
      </c>
    </row>
    <row r="9" spans="1:35" s="17" customFormat="1" ht="66" x14ac:dyDescent="0.25">
      <c r="A9" s="157">
        <v>1</v>
      </c>
      <c r="B9" s="169" t="str">
        <f>+[7]Identificacion!B4</f>
        <v>ADMINISTRACIÓN DE TECNOLOGÍAS E INFORMACIÓN</v>
      </c>
      <c r="C9" s="169"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69" t="str">
        <f>+[7]Identificacion!D4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69" t="str">
        <f>+[7]Identificacion!E4</f>
        <v xml:space="preserve">Falta de oportunidad en el seguimiento y control de los proyectos con componente tecnológico. </v>
      </c>
      <c r="F9" s="169" t="str">
        <f>+[7]Identificacion!F4</f>
        <v>Incumplimiento de las metas 
Ejecución presupuestal  retardada</v>
      </c>
      <c r="G9" s="157">
        <f>+[7]Probabilidad!E14</f>
        <v>4</v>
      </c>
      <c r="H9" s="157">
        <f>+'[7]Impacto '!D6</f>
        <v>2</v>
      </c>
      <c r="I9" s="23">
        <f t="shared" ref="I9:I20" si="0">+G9*H9</f>
        <v>8</v>
      </c>
      <c r="J9" s="175" t="str">
        <f>IF(AND(I9&gt;=0,I9&lt;=4),'[7]Calificación de Riesgos'!$H$10,IF(I9&lt;7,'[7]Calificación de Riesgos'!$H$9,IF(I9&lt;13,'[7]Calificación de Riesgos'!$H$8,IF(I9&lt;=25,'[7]Calificación de Riesgos'!$H$7))))</f>
        <v>ALTA</v>
      </c>
      <c r="K9" s="169" t="s">
        <v>172</v>
      </c>
      <c r="L9" s="199">
        <f>+G9-1</f>
        <v>3</v>
      </c>
      <c r="M9" s="199">
        <f>+H9-1</f>
        <v>1</v>
      </c>
      <c r="N9" s="23">
        <f>+L9*M9</f>
        <v>3</v>
      </c>
      <c r="O9" s="183" t="str">
        <f>IF(AND(N9&gt;=0,N9&lt;=4),'[7]Calificación de Riesgos'!$H$10,IF(N9&lt;7,'[7]Calificación de Riesgos'!$H$9,IF(N9&lt;13,'[7]Calificación de Riesgos'!$H$8,IF(N9&lt;=25,'[7]Calificación de Riesgos'!$H$7))))</f>
        <v>BAJA</v>
      </c>
      <c r="P9" s="157" t="s">
        <v>7</v>
      </c>
      <c r="Q9" s="67" t="s">
        <v>173</v>
      </c>
      <c r="R9" s="24" t="s">
        <v>174</v>
      </c>
      <c r="S9" s="83">
        <v>43497</v>
      </c>
      <c r="T9" s="83">
        <v>43830</v>
      </c>
      <c r="U9" s="84" t="s">
        <v>175</v>
      </c>
      <c r="V9" s="194" t="s">
        <v>518</v>
      </c>
      <c r="W9" s="102" t="s">
        <v>519</v>
      </c>
      <c r="X9" s="157" t="s">
        <v>467</v>
      </c>
      <c r="Y9" s="157" t="s">
        <v>447</v>
      </c>
      <c r="Z9" s="157" t="s">
        <v>520</v>
      </c>
      <c r="AA9" s="157" t="s">
        <v>520</v>
      </c>
      <c r="AB9" s="18"/>
      <c r="AC9" s="18"/>
      <c r="AD9" s="18"/>
      <c r="AE9" s="18"/>
      <c r="AF9" s="18"/>
      <c r="AG9" s="18"/>
      <c r="AH9" s="18"/>
      <c r="AI9" s="18"/>
    </row>
    <row r="10" spans="1:35" s="17" customFormat="1" ht="49.5" x14ac:dyDescent="0.25">
      <c r="A10" s="158"/>
      <c r="B10" s="170"/>
      <c r="C10" s="170"/>
      <c r="D10" s="170"/>
      <c r="E10" s="170"/>
      <c r="F10" s="170"/>
      <c r="G10" s="158"/>
      <c r="H10" s="158"/>
      <c r="I10" s="23"/>
      <c r="J10" s="198"/>
      <c r="K10" s="170"/>
      <c r="L10" s="200"/>
      <c r="M10" s="200"/>
      <c r="N10" s="23"/>
      <c r="O10" s="197"/>
      <c r="P10" s="158"/>
      <c r="Q10" s="67" t="s">
        <v>176</v>
      </c>
      <c r="R10" s="24" t="s">
        <v>177</v>
      </c>
      <c r="S10" s="83">
        <v>43497</v>
      </c>
      <c r="T10" s="83">
        <v>43830</v>
      </c>
      <c r="U10" s="84" t="s">
        <v>175</v>
      </c>
      <c r="V10" s="195"/>
      <c r="W10" s="102" t="s">
        <v>521</v>
      </c>
      <c r="X10" s="158"/>
      <c r="Y10" s="158"/>
      <c r="Z10" s="158"/>
      <c r="AA10" s="158"/>
      <c r="AB10" s="18"/>
      <c r="AC10" s="18"/>
      <c r="AD10" s="18"/>
      <c r="AE10" s="18"/>
      <c r="AF10" s="18"/>
      <c r="AG10" s="18"/>
      <c r="AH10" s="18"/>
      <c r="AI10" s="18"/>
    </row>
    <row r="11" spans="1:35" s="17" customFormat="1" ht="99" x14ac:dyDescent="0.25">
      <c r="A11" s="159"/>
      <c r="B11" s="171"/>
      <c r="C11" s="171"/>
      <c r="D11" s="171"/>
      <c r="E11" s="171"/>
      <c r="F11" s="171"/>
      <c r="G11" s="159"/>
      <c r="H11" s="159"/>
      <c r="I11" s="23"/>
      <c r="J11" s="176"/>
      <c r="K11" s="171"/>
      <c r="L11" s="201"/>
      <c r="M11" s="201"/>
      <c r="N11" s="23"/>
      <c r="O11" s="184"/>
      <c r="P11" s="159"/>
      <c r="Q11" s="67" t="s">
        <v>178</v>
      </c>
      <c r="R11" s="24" t="s">
        <v>179</v>
      </c>
      <c r="S11" s="83">
        <v>43497</v>
      </c>
      <c r="T11" s="83">
        <v>43830</v>
      </c>
      <c r="U11" s="84" t="s">
        <v>175</v>
      </c>
      <c r="V11" s="196"/>
      <c r="W11" s="102" t="s">
        <v>522</v>
      </c>
      <c r="X11" s="159"/>
      <c r="Y11" s="159"/>
      <c r="Z11" s="159"/>
      <c r="AA11" s="159"/>
      <c r="AB11" s="18"/>
      <c r="AC11" s="18"/>
      <c r="AD11" s="18"/>
      <c r="AE11" s="18"/>
      <c r="AF11" s="18"/>
      <c r="AG11" s="18"/>
      <c r="AH11" s="18"/>
      <c r="AI11" s="18"/>
    </row>
    <row r="12" spans="1:35" s="17" customFormat="1" ht="99" x14ac:dyDescent="0.25">
      <c r="A12" s="157">
        <v>2</v>
      </c>
      <c r="B12" s="169" t="str">
        <f>+[7]Identificacion!B5</f>
        <v>ADMINISTRACIÓN DE TECNOLOGÍAS E INFORMACIÓN</v>
      </c>
      <c r="C12" s="169"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69" t="str">
        <f>+[7]Identificacion!D5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69" t="str">
        <f>+[7]Identificacion!E5</f>
        <v xml:space="preserve">Atención inoportuna a las solicitudes que recibe la Oficina de Tecnología e Información  (OTI) </v>
      </c>
      <c r="F12" s="169" t="str">
        <f>+[7]Identificacion!F5</f>
        <v xml:space="preserve">Indisponibilidad de los servicios 
Pérdida de imagen 
Quejas por parte de los usuarios 
Afectación de la gestión de los trámites administrativos 
Incumplimiento normativo </v>
      </c>
      <c r="G12" s="157">
        <f>+[7]Probabilidad!E15</f>
        <v>4</v>
      </c>
      <c r="H12" s="157">
        <f>+'[7]Impacto '!D7</f>
        <v>3</v>
      </c>
      <c r="I12" s="23">
        <f t="shared" si="0"/>
        <v>12</v>
      </c>
      <c r="J12" s="175" t="str">
        <f>IF(AND(I12&gt;=0,I12&lt;=4),'[7]Calificación de Riesgos'!$H$10,IF(I12&lt;7,'[7]Calificación de Riesgos'!$H$9,IF(I12&lt;13,'[7]Calificación de Riesgos'!$H$8,IF(I12&lt;=25,'[7]Calificación de Riesgos'!$H$7))))</f>
        <v>ALTA</v>
      </c>
      <c r="K12" s="169" t="s">
        <v>180</v>
      </c>
      <c r="L12" s="199">
        <f t="shared" ref="L12:M38" si="1">+G12-1</f>
        <v>3</v>
      </c>
      <c r="M12" s="199">
        <f t="shared" si="1"/>
        <v>2</v>
      </c>
      <c r="N12" s="23">
        <f t="shared" ref="N12:N20" si="2">+L12*M12</f>
        <v>6</v>
      </c>
      <c r="O12" s="181" t="str">
        <f>IF(AND(N12&gt;=0,N12&lt;=4),'[7]Calificación de Riesgos'!$H$10,IF(N12&lt;7,'[7]Calificación de Riesgos'!$H$9,IF(N12&lt;13,'[7]Calificación de Riesgos'!$H$8,IF(N12&lt;=25,'[7]Calificación de Riesgos'!$H$7))))</f>
        <v>MODERADA</v>
      </c>
      <c r="P12" s="157" t="s">
        <v>7</v>
      </c>
      <c r="Q12" s="67" t="s">
        <v>181</v>
      </c>
      <c r="R12" s="24" t="s">
        <v>182</v>
      </c>
      <c r="S12" s="83">
        <v>43497</v>
      </c>
      <c r="T12" s="83">
        <v>43830</v>
      </c>
      <c r="U12" s="84" t="s">
        <v>175</v>
      </c>
      <c r="V12" s="194" t="s">
        <v>523</v>
      </c>
      <c r="W12" s="121" t="s">
        <v>524</v>
      </c>
      <c r="X12" s="157" t="s">
        <v>467</v>
      </c>
      <c r="Y12" s="157" t="s">
        <v>447</v>
      </c>
      <c r="Z12" s="186" t="s">
        <v>520</v>
      </c>
      <c r="AA12" s="186" t="s">
        <v>520</v>
      </c>
      <c r="AB12" s="18"/>
      <c r="AC12" s="18"/>
      <c r="AD12" s="18"/>
      <c r="AE12" s="18"/>
      <c r="AF12" s="18"/>
      <c r="AG12" s="18"/>
      <c r="AH12" s="18"/>
      <c r="AI12" s="18"/>
    </row>
    <row r="13" spans="1:35" s="17" customFormat="1" ht="49.5" x14ac:dyDescent="0.25">
      <c r="A13" s="158"/>
      <c r="B13" s="170"/>
      <c r="C13" s="170"/>
      <c r="D13" s="170"/>
      <c r="E13" s="170"/>
      <c r="F13" s="170"/>
      <c r="G13" s="158"/>
      <c r="H13" s="158"/>
      <c r="I13" s="23"/>
      <c r="J13" s="198"/>
      <c r="K13" s="170"/>
      <c r="L13" s="200"/>
      <c r="M13" s="200"/>
      <c r="N13" s="23"/>
      <c r="O13" s="185"/>
      <c r="P13" s="158"/>
      <c r="Q13" s="67" t="s">
        <v>183</v>
      </c>
      <c r="R13" s="24" t="s">
        <v>177</v>
      </c>
      <c r="S13" s="83">
        <v>43497</v>
      </c>
      <c r="T13" s="83">
        <v>43830</v>
      </c>
      <c r="U13" s="84" t="s">
        <v>175</v>
      </c>
      <c r="V13" s="195"/>
      <c r="W13" s="102" t="s">
        <v>525</v>
      </c>
      <c r="X13" s="158"/>
      <c r="Y13" s="158"/>
      <c r="Z13" s="187"/>
      <c r="AA13" s="187"/>
      <c r="AB13" s="18"/>
      <c r="AC13" s="18"/>
      <c r="AD13" s="18"/>
      <c r="AE13" s="18"/>
      <c r="AF13" s="18"/>
      <c r="AG13" s="18"/>
      <c r="AH13" s="18"/>
      <c r="AI13" s="18"/>
    </row>
    <row r="14" spans="1:35" s="17" customFormat="1" ht="49.5" x14ac:dyDescent="0.25">
      <c r="A14" s="158"/>
      <c r="B14" s="170"/>
      <c r="C14" s="170"/>
      <c r="D14" s="170"/>
      <c r="E14" s="170"/>
      <c r="F14" s="170"/>
      <c r="G14" s="158"/>
      <c r="H14" s="158"/>
      <c r="I14" s="23"/>
      <c r="J14" s="198"/>
      <c r="K14" s="170"/>
      <c r="L14" s="200"/>
      <c r="M14" s="200"/>
      <c r="N14" s="23"/>
      <c r="O14" s="185"/>
      <c r="P14" s="158"/>
      <c r="Q14" s="67" t="s">
        <v>184</v>
      </c>
      <c r="R14" s="24" t="s">
        <v>179</v>
      </c>
      <c r="S14" s="83">
        <v>43497</v>
      </c>
      <c r="T14" s="83">
        <v>43830</v>
      </c>
      <c r="U14" s="84" t="s">
        <v>175</v>
      </c>
      <c r="V14" s="195"/>
      <c r="W14" s="102" t="s">
        <v>526</v>
      </c>
      <c r="X14" s="158"/>
      <c r="Y14" s="158"/>
      <c r="Z14" s="187"/>
      <c r="AA14" s="187"/>
      <c r="AB14" s="18"/>
      <c r="AC14" s="18"/>
      <c r="AD14" s="18"/>
      <c r="AE14" s="18"/>
      <c r="AF14" s="18"/>
      <c r="AG14" s="18"/>
      <c r="AH14" s="18"/>
      <c r="AI14" s="18"/>
    </row>
    <row r="15" spans="1:35" s="17" customFormat="1" ht="66" x14ac:dyDescent="0.25">
      <c r="A15" s="159"/>
      <c r="B15" s="171"/>
      <c r="C15" s="171"/>
      <c r="D15" s="171"/>
      <c r="E15" s="171"/>
      <c r="F15" s="171"/>
      <c r="G15" s="159"/>
      <c r="H15" s="159"/>
      <c r="I15" s="23"/>
      <c r="J15" s="176"/>
      <c r="K15" s="171"/>
      <c r="L15" s="201"/>
      <c r="M15" s="201"/>
      <c r="N15" s="23"/>
      <c r="O15" s="182"/>
      <c r="P15" s="159"/>
      <c r="Q15" s="67" t="s">
        <v>185</v>
      </c>
      <c r="R15" s="24" t="s">
        <v>186</v>
      </c>
      <c r="S15" s="83">
        <v>43497</v>
      </c>
      <c r="T15" s="83">
        <v>43830</v>
      </c>
      <c r="U15" s="84" t="s">
        <v>175</v>
      </c>
      <c r="V15" s="196"/>
      <c r="W15" s="102" t="s">
        <v>527</v>
      </c>
      <c r="X15" s="159"/>
      <c r="Y15" s="159"/>
      <c r="Z15" s="203"/>
      <c r="AA15" s="203"/>
      <c r="AB15" s="18"/>
      <c r="AC15" s="18"/>
      <c r="AD15" s="18"/>
      <c r="AE15" s="18"/>
      <c r="AF15" s="18"/>
      <c r="AG15" s="18"/>
      <c r="AH15" s="18"/>
      <c r="AI15" s="18"/>
    </row>
    <row r="16" spans="1:35" s="17" customFormat="1" ht="99" x14ac:dyDescent="0.25">
      <c r="A16" s="157">
        <v>3</v>
      </c>
      <c r="B16" s="169" t="str">
        <f>+[7]Identificacion!B6</f>
        <v>ADMINISTRACIÓN DE TECNOLOGÍAS E INFORMACIÓN</v>
      </c>
      <c r="C16" s="169" t="str">
        <f>+[7]Identificacion!C6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69" t="str">
        <f>+[7]Identificacion!D6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69" t="str">
        <f>+[7]Identificacion!E6</f>
        <v xml:space="preserve">Pérdida de información de alguno de los sistemas de información </v>
      </c>
      <c r="F16" s="169" t="str">
        <f>+[7]Identificacion!F6</f>
        <v xml:space="preserve">Indisponibilidad de los servicios 
Pérdida de imagen 
Quejas por parte de los usuarios 
Afectación de la gestión de los trámites administrativos 
Incumplimiento normativo </v>
      </c>
      <c r="G16" s="157">
        <f>+[7]Probabilidad!E16</f>
        <v>4</v>
      </c>
      <c r="H16" s="157">
        <f>+'[7]Impacto '!D8</f>
        <v>3</v>
      </c>
      <c r="I16" s="23">
        <f t="shared" si="0"/>
        <v>12</v>
      </c>
      <c r="J16" s="175" t="str">
        <f>IF(AND(I16&gt;=0,I16&lt;=4),'[7]Calificación de Riesgos'!$H$10,IF(I16&lt;7,'[7]Calificación de Riesgos'!$H$9,IF(I16&lt;13,'[7]Calificación de Riesgos'!$H$8,IF(I16&lt;=25,'[7]Calificación de Riesgos'!$H$7))))</f>
        <v>ALTA</v>
      </c>
      <c r="K16" s="169" t="s">
        <v>187</v>
      </c>
      <c r="L16" s="199">
        <f t="shared" si="1"/>
        <v>3</v>
      </c>
      <c r="M16" s="199">
        <f t="shared" si="1"/>
        <v>2</v>
      </c>
      <c r="N16" s="23">
        <f t="shared" si="2"/>
        <v>6</v>
      </c>
      <c r="O16" s="181" t="str">
        <f>IF(AND(N16&gt;=0,N16&lt;=4),'[7]Calificación de Riesgos'!$H$10,IF(N16&lt;7,'[7]Calificación de Riesgos'!$H$9,IF(N16&lt;13,'[7]Calificación de Riesgos'!$H$8,IF(N16&lt;=25,'[7]Calificación de Riesgos'!$H$7))))</f>
        <v>MODERADA</v>
      </c>
      <c r="P16" s="157" t="s">
        <v>7</v>
      </c>
      <c r="Q16" s="67" t="s">
        <v>188</v>
      </c>
      <c r="R16" s="24" t="s">
        <v>174</v>
      </c>
      <c r="S16" s="83">
        <v>43497</v>
      </c>
      <c r="T16" s="83">
        <v>43830</v>
      </c>
      <c r="U16" s="84" t="s">
        <v>175</v>
      </c>
      <c r="V16" s="194" t="s">
        <v>528</v>
      </c>
      <c r="W16" s="125" t="s">
        <v>529</v>
      </c>
      <c r="X16" s="157" t="s">
        <v>467</v>
      </c>
      <c r="Y16" s="157" t="s">
        <v>447</v>
      </c>
      <c r="Z16" s="157" t="s">
        <v>520</v>
      </c>
      <c r="AA16" s="157" t="s">
        <v>520</v>
      </c>
      <c r="AB16" s="18"/>
      <c r="AC16" s="18"/>
      <c r="AD16" s="18"/>
      <c r="AE16" s="18"/>
      <c r="AF16" s="18"/>
      <c r="AG16" s="18"/>
      <c r="AH16" s="18"/>
      <c r="AI16" s="18"/>
    </row>
    <row r="17" spans="1:35" s="17" customFormat="1" ht="99" x14ac:dyDescent="0.25">
      <c r="A17" s="158"/>
      <c r="B17" s="170"/>
      <c r="C17" s="170"/>
      <c r="D17" s="170"/>
      <c r="E17" s="170"/>
      <c r="F17" s="170"/>
      <c r="G17" s="158"/>
      <c r="H17" s="158"/>
      <c r="I17" s="23"/>
      <c r="J17" s="198"/>
      <c r="K17" s="170"/>
      <c r="L17" s="200"/>
      <c r="M17" s="200"/>
      <c r="N17" s="23"/>
      <c r="O17" s="185"/>
      <c r="P17" s="158"/>
      <c r="Q17" s="67" t="s">
        <v>189</v>
      </c>
      <c r="R17" s="24" t="s">
        <v>190</v>
      </c>
      <c r="S17" s="83">
        <v>43497</v>
      </c>
      <c r="T17" s="83">
        <v>43830</v>
      </c>
      <c r="U17" s="84" t="s">
        <v>175</v>
      </c>
      <c r="V17" s="195"/>
      <c r="W17" s="102" t="s">
        <v>530</v>
      </c>
      <c r="X17" s="158"/>
      <c r="Y17" s="158"/>
      <c r="Z17" s="158"/>
      <c r="AA17" s="158"/>
      <c r="AB17" s="18"/>
      <c r="AC17" s="18"/>
      <c r="AD17" s="18"/>
      <c r="AE17" s="18"/>
      <c r="AF17" s="18"/>
      <c r="AG17" s="18"/>
      <c r="AH17" s="18"/>
      <c r="AI17" s="18"/>
    </row>
    <row r="18" spans="1:35" s="17" customFormat="1" ht="66" x14ac:dyDescent="0.25">
      <c r="A18" s="158"/>
      <c r="B18" s="170"/>
      <c r="C18" s="170"/>
      <c r="D18" s="170"/>
      <c r="E18" s="170"/>
      <c r="F18" s="170"/>
      <c r="G18" s="158"/>
      <c r="H18" s="158"/>
      <c r="I18" s="23"/>
      <c r="J18" s="198"/>
      <c r="K18" s="170"/>
      <c r="L18" s="200"/>
      <c r="M18" s="200"/>
      <c r="N18" s="23"/>
      <c r="O18" s="185"/>
      <c r="P18" s="158"/>
      <c r="Q18" s="67" t="s">
        <v>191</v>
      </c>
      <c r="R18" s="24" t="s">
        <v>190</v>
      </c>
      <c r="S18" s="83">
        <v>43497</v>
      </c>
      <c r="T18" s="83">
        <v>43830</v>
      </c>
      <c r="U18" s="84" t="s">
        <v>175</v>
      </c>
      <c r="V18" s="195"/>
      <c r="W18" s="102" t="s">
        <v>531</v>
      </c>
      <c r="X18" s="158"/>
      <c r="Y18" s="158"/>
      <c r="Z18" s="158"/>
      <c r="AA18" s="158"/>
      <c r="AB18" s="18"/>
      <c r="AC18" s="18"/>
      <c r="AD18" s="18"/>
      <c r="AE18" s="18"/>
      <c r="AF18" s="18"/>
      <c r="AG18" s="18"/>
      <c r="AH18" s="18"/>
      <c r="AI18" s="18"/>
    </row>
    <row r="19" spans="1:35" s="17" customFormat="1" ht="49.5" x14ac:dyDescent="0.25">
      <c r="A19" s="159"/>
      <c r="B19" s="171"/>
      <c r="C19" s="171"/>
      <c r="D19" s="171"/>
      <c r="E19" s="171"/>
      <c r="F19" s="171"/>
      <c r="G19" s="159"/>
      <c r="H19" s="159"/>
      <c r="I19" s="23"/>
      <c r="J19" s="176"/>
      <c r="K19" s="171"/>
      <c r="L19" s="201"/>
      <c r="M19" s="201"/>
      <c r="N19" s="23"/>
      <c r="O19" s="182"/>
      <c r="P19" s="159"/>
      <c r="Q19" s="67" t="s">
        <v>192</v>
      </c>
      <c r="R19" s="24" t="s">
        <v>190</v>
      </c>
      <c r="S19" s="83">
        <v>43497</v>
      </c>
      <c r="T19" s="83">
        <v>43830</v>
      </c>
      <c r="U19" s="84" t="s">
        <v>175</v>
      </c>
      <c r="V19" s="196"/>
      <c r="W19" s="102" t="s">
        <v>531</v>
      </c>
      <c r="X19" s="159"/>
      <c r="Y19" s="159"/>
      <c r="Z19" s="159"/>
      <c r="AA19" s="159"/>
      <c r="AB19" s="18"/>
      <c r="AC19" s="18"/>
      <c r="AD19" s="18"/>
      <c r="AE19" s="18"/>
      <c r="AF19" s="18"/>
      <c r="AG19" s="18"/>
      <c r="AH19" s="18"/>
      <c r="AI19" s="18"/>
    </row>
    <row r="20" spans="1:35" s="17" customFormat="1" ht="99" x14ac:dyDescent="0.25">
      <c r="A20" s="157">
        <v>4</v>
      </c>
      <c r="B20" s="169" t="str">
        <f>+[7]Identificacion!B7</f>
        <v>ADMINISTRACIÓN DE TECNOLOGÍAS E INFORMACIÓN</v>
      </c>
      <c r="C20" s="169"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69" t="str">
        <f>+[7]Identificacion!D7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69" t="str">
        <f>+[7]Identificacion!E7</f>
        <v xml:space="preserve">Indisponibilidad de los servicios tecnológicos que  soporta la OTI. </v>
      </c>
      <c r="F20" s="169" t="str">
        <f>+[7]Identificacion!F7</f>
        <v xml:space="preserve">Servicios afectados para los usuarios
internos y externos.
Afectación a toda la Entidad
Afectación de la integridad, disponibilidad y confidencialidad de la información </v>
      </c>
      <c r="G20" s="157">
        <f>+[7]Probabilidad!E17</f>
        <v>5</v>
      </c>
      <c r="H20" s="157">
        <f>+'[7]Impacto '!D9</f>
        <v>4</v>
      </c>
      <c r="I20" s="23">
        <f t="shared" si="0"/>
        <v>20</v>
      </c>
      <c r="J20" s="166" t="str">
        <f>IF(AND(I20&gt;=0,I20&lt;=4),'[7]Calificación de Riesgos'!$H$10,IF(I20&lt;7,'[7]Calificación de Riesgos'!$H$9,IF(I20&lt;13,'[7]Calificación de Riesgos'!$H$8,IF(I20&lt;=25,'[7]Calificación de Riesgos'!$H$7))))</f>
        <v>EXTREMA</v>
      </c>
      <c r="K20" s="169" t="s">
        <v>193</v>
      </c>
      <c r="L20" s="199">
        <f t="shared" si="1"/>
        <v>4</v>
      </c>
      <c r="M20" s="199">
        <f t="shared" si="1"/>
        <v>3</v>
      </c>
      <c r="N20" s="23">
        <f t="shared" si="2"/>
        <v>12</v>
      </c>
      <c r="O20" s="175" t="str">
        <f>IF(AND(N20&gt;=0,N20&lt;=4),'[7]Calificación de Riesgos'!$H$10,IF(N20&lt;7,'[7]Calificación de Riesgos'!$H$9,IF(N20&lt;13,'[7]Calificación de Riesgos'!$H$8,IF(N20&lt;=25,'[7]Calificación de Riesgos'!$H$7))))</f>
        <v>ALTA</v>
      </c>
      <c r="P20" s="157" t="s">
        <v>7</v>
      </c>
      <c r="Q20" s="85" t="s">
        <v>194</v>
      </c>
      <c r="R20" s="24" t="s">
        <v>182</v>
      </c>
      <c r="S20" s="83">
        <v>43497</v>
      </c>
      <c r="T20" s="83">
        <v>43830</v>
      </c>
      <c r="U20" s="84" t="s">
        <v>175</v>
      </c>
      <c r="V20" s="194" t="s">
        <v>532</v>
      </c>
      <c r="W20" s="121" t="s">
        <v>533</v>
      </c>
      <c r="X20" s="157" t="s">
        <v>467</v>
      </c>
      <c r="Y20" s="157" t="s">
        <v>534</v>
      </c>
      <c r="Z20" s="157" t="s">
        <v>520</v>
      </c>
      <c r="AA20" s="157" t="s">
        <v>520</v>
      </c>
      <c r="AB20" s="18"/>
      <c r="AC20" s="18"/>
      <c r="AD20" s="18"/>
      <c r="AE20" s="18"/>
      <c r="AF20" s="18"/>
      <c r="AG20" s="18"/>
      <c r="AH20" s="18"/>
      <c r="AI20" s="18"/>
    </row>
    <row r="21" spans="1:35" s="17" customFormat="1" ht="49.5" x14ac:dyDescent="0.25">
      <c r="A21" s="158"/>
      <c r="B21" s="170"/>
      <c r="C21" s="170"/>
      <c r="D21" s="170"/>
      <c r="E21" s="170"/>
      <c r="F21" s="170"/>
      <c r="G21" s="158"/>
      <c r="H21" s="158"/>
      <c r="I21" s="23"/>
      <c r="J21" s="167"/>
      <c r="K21" s="170"/>
      <c r="L21" s="200"/>
      <c r="M21" s="200"/>
      <c r="N21" s="23"/>
      <c r="O21" s="198"/>
      <c r="P21" s="158"/>
      <c r="Q21" s="85" t="s">
        <v>195</v>
      </c>
      <c r="R21" s="24" t="s">
        <v>196</v>
      </c>
      <c r="S21" s="83">
        <v>43497</v>
      </c>
      <c r="T21" s="83">
        <v>43830</v>
      </c>
      <c r="U21" s="84" t="s">
        <v>175</v>
      </c>
      <c r="V21" s="195"/>
      <c r="W21" s="102" t="s">
        <v>535</v>
      </c>
      <c r="X21" s="158"/>
      <c r="Y21" s="158"/>
      <c r="Z21" s="158"/>
      <c r="AA21" s="158"/>
      <c r="AB21" s="18"/>
      <c r="AC21" s="18"/>
      <c r="AD21" s="18"/>
      <c r="AE21" s="18"/>
      <c r="AF21" s="18"/>
      <c r="AG21" s="18"/>
      <c r="AH21" s="18"/>
      <c r="AI21" s="18"/>
    </row>
    <row r="22" spans="1:35" s="17" customFormat="1" ht="49.5" x14ac:dyDescent="0.25">
      <c r="A22" s="158"/>
      <c r="B22" s="170"/>
      <c r="C22" s="170"/>
      <c r="D22" s="170"/>
      <c r="E22" s="170"/>
      <c r="F22" s="170"/>
      <c r="G22" s="158"/>
      <c r="H22" s="158"/>
      <c r="I22" s="23"/>
      <c r="J22" s="167"/>
      <c r="K22" s="170"/>
      <c r="L22" s="200"/>
      <c r="M22" s="200"/>
      <c r="N22" s="23"/>
      <c r="O22" s="198"/>
      <c r="P22" s="158"/>
      <c r="Q22" s="85" t="s">
        <v>197</v>
      </c>
      <c r="R22" s="24" t="s">
        <v>190</v>
      </c>
      <c r="S22" s="83">
        <v>43497</v>
      </c>
      <c r="T22" s="83">
        <v>43830</v>
      </c>
      <c r="U22" s="84" t="s">
        <v>175</v>
      </c>
      <c r="V22" s="195"/>
      <c r="W22" s="102" t="s">
        <v>536</v>
      </c>
      <c r="X22" s="158"/>
      <c r="Y22" s="158"/>
      <c r="Z22" s="158"/>
      <c r="AA22" s="158"/>
      <c r="AB22" s="18"/>
      <c r="AC22" s="18"/>
      <c r="AD22" s="18"/>
      <c r="AE22" s="18"/>
      <c r="AF22" s="18"/>
      <c r="AG22" s="18"/>
      <c r="AH22" s="18"/>
      <c r="AI22" s="18"/>
    </row>
    <row r="23" spans="1:35" s="17" customFormat="1" ht="66" x14ac:dyDescent="0.25">
      <c r="A23" s="158"/>
      <c r="B23" s="170"/>
      <c r="C23" s="170"/>
      <c r="D23" s="170"/>
      <c r="E23" s="170"/>
      <c r="F23" s="170"/>
      <c r="G23" s="158"/>
      <c r="H23" s="158"/>
      <c r="I23" s="23"/>
      <c r="J23" s="167"/>
      <c r="K23" s="170"/>
      <c r="L23" s="200"/>
      <c r="M23" s="200"/>
      <c r="N23" s="23"/>
      <c r="O23" s="198"/>
      <c r="P23" s="158"/>
      <c r="Q23" s="85" t="s">
        <v>198</v>
      </c>
      <c r="R23" s="24" t="s">
        <v>190</v>
      </c>
      <c r="S23" s="83">
        <v>43497</v>
      </c>
      <c r="T23" s="83">
        <v>43830</v>
      </c>
      <c r="U23" s="84" t="s">
        <v>175</v>
      </c>
      <c r="V23" s="195"/>
      <c r="W23" s="102" t="s">
        <v>537</v>
      </c>
      <c r="X23" s="158"/>
      <c r="Y23" s="158"/>
      <c r="Z23" s="158"/>
      <c r="AA23" s="158"/>
      <c r="AB23" s="18"/>
      <c r="AC23" s="18"/>
      <c r="AD23" s="18"/>
      <c r="AE23" s="18"/>
      <c r="AF23" s="18"/>
      <c r="AG23" s="18"/>
      <c r="AH23" s="18"/>
      <c r="AI23" s="18"/>
    </row>
    <row r="24" spans="1:35" s="17" customFormat="1" ht="49.5" x14ac:dyDescent="0.25">
      <c r="A24" s="159"/>
      <c r="B24" s="171"/>
      <c r="C24" s="171"/>
      <c r="D24" s="171"/>
      <c r="E24" s="171"/>
      <c r="F24" s="171"/>
      <c r="G24" s="159"/>
      <c r="H24" s="159"/>
      <c r="I24" s="23"/>
      <c r="J24" s="168"/>
      <c r="K24" s="171"/>
      <c r="L24" s="201"/>
      <c r="M24" s="201"/>
      <c r="N24" s="23"/>
      <c r="O24" s="176"/>
      <c r="P24" s="159"/>
      <c r="Q24" s="85" t="s">
        <v>199</v>
      </c>
      <c r="R24" s="24" t="s">
        <v>190</v>
      </c>
      <c r="S24" s="83">
        <v>43497</v>
      </c>
      <c r="T24" s="83">
        <v>43830</v>
      </c>
      <c r="U24" s="84" t="s">
        <v>175</v>
      </c>
      <c r="V24" s="196"/>
      <c r="W24" s="102" t="s">
        <v>538</v>
      </c>
      <c r="X24" s="159"/>
      <c r="Y24" s="159"/>
      <c r="Z24" s="159"/>
      <c r="AA24" s="159"/>
      <c r="AB24" s="18"/>
      <c r="AC24" s="18"/>
      <c r="AD24" s="18"/>
      <c r="AE24" s="18"/>
      <c r="AF24" s="18"/>
      <c r="AG24" s="18"/>
      <c r="AH24" s="18"/>
      <c r="AI24" s="18"/>
    </row>
    <row r="25" spans="1:35" ht="82.5" x14ac:dyDescent="0.3">
      <c r="A25" s="157">
        <v>5</v>
      </c>
      <c r="B25" s="169" t="str">
        <f>+[7]Identificacion!B8</f>
        <v>ADMINISTRACIÓN DE TECNOLOGÍAS E INFORMACIÓN</v>
      </c>
      <c r="C25" s="169" t="str">
        <f>+[7]Identificacion!C8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69" t="str">
        <f>+[7]Identificacion!D8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69" t="str">
        <f>+[7]Identificacion!E8</f>
        <v>Accesos indebidos a la información No Pública de la Agencia afectando la integridad, disponibilidad y confidencialidad de la información.</v>
      </c>
      <c r="F25" s="169" t="str">
        <f>+[7]Identificacion!F8</f>
        <v xml:space="preserve">Afectación de la imagen institucional
Incumplimiento legal y llamados de atención
Investigaciones por parte de los órganos de control </v>
      </c>
      <c r="G25" s="157">
        <f>+[7]Probabilidad!E18</f>
        <v>4</v>
      </c>
      <c r="H25" s="157">
        <f>+'[7]Impacto '!D10</f>
        <v>3</v>
      </c>
      <c r="I25" s="23">
        <f t="shared" ref="I25:I38" si="3">+G25*H25</f>
        <v>12</v>
      </c>
      <c r="J25" s="175" t="str">
        <f>IF(AND(I25&gt;=0,I25&lt;=4),'[7]Calificación de Riesgos'!$H$10,IF(I25&lt;7,'[7]Calificación de Riesgos'!$H$9,IF(I25&lt;13,'[7]Calificación de Riesgos'!$H$8,IF(I25&lt;=25,'[7]Calificación de Riesgos'!$H$7))))</f>
        <v>ALTA</v>
      </c>
      <c r="K25" s="169" t="s">
        <v>200</v>
      </c>
      <c r="L25" s="199">
        <f t="shared" si="1"/>
        <v>3</v>
      </c>
      <c r="M25" s="199">
        <f t="shared" si="1"/>
        <v>2</v>
      </c>
      <c r="N25" s="23">
        <f t="shared" ref="N25:N38" si="4">+L25*M25</f>
        <v>6</v>
      </c>
      <c r="O25" s="181" t="str">
        <f>IF(AND(N25&gt;=0,N25&lt;=4),'[7]Calificación de Riesgos'!$H$10,IF(N25&lt;7,'[7]Calificación de Riesgos'!$H$9,IF(N25&lt;13,'[7]Calificación de Riesgos'!$H$8,IF(N25&lt;=25,'[7]Calificación de Riesgos'!$H$7))))</f>
        <v>MODERADA</v>
      </c>
      <c r="P25" s="157" t="s">
        <v>7</v>
      </c>
      <c r="Q25" s="85" t="s">
        <v>201</v>
      </c>
      <c r="R25" s="24" t="s">
        <v>182</v>
      </c>
      <c r="S25" s="83">
        <v>43497</v>
      </c>
      <c r="T25" s="83">
        <v>43830</v>
      </c>
      <c r="U25" s="84" t="s">
        <v>175</v>
      </c>
      <c r="V25" s="194" t="s">
        <v>528</v>
      </c>
      <c r="W25" s="194" t="s">
        <v>539</v>
      </c>
      <c r="X25" s="157" t="s">
        <v>467</v>
      </c>
      <c r="Y25" s="157" t="s">
        <v>468</v>
      </c>
      <c r="Z25" s="157" t="s">
        <v>520</v>
      </c>
      <c r="AA25" s="157" t="s">
        <v>520</v>
      </c>
      <c r="AB25" s="18"/>
      <c r="AC25" s="18"/>
      <c r="AD25" s="18"/>
      <c r="AE25" s="18"/>
      <c r="AF25" s="18"/>
      <c r="AG25" s="18"/>
      <c r="AH25" s="18"/>
      <c r="AI25" s="18"/>
    </row>
    <row r="26" spans="1:35" ht="49.5" x14ac:dyDescent="0.3">
      <c r="A26" s="159"/>
      <c r="B26" s="171"/>
      <c r="C26" s="171"/>
      <c r="D26" s="171"/>
      <c r="E26" s="171"/>
      <c r="F26" s="171"/>
      <c r="G26" s="159"/>
      <c r="H26" s="159"/>
      <c r="I26" s="23"/>
      <c r="J26" s="176"/>
      <c r="K26" s="171"/>
      <c r="L26" s="201"/>
      <c r="M26" s="201"/>
      <c r="N26" s="23"/>
      <c r="O26" s="182"/>
      <c r="P26" s="159"/>
      <c r="Q26" s="85" t="s">
        <v>202</v>
      </c>
      <c r="R26" s="24" t="s">
        <v>203</v>
      </c>
      <c r="S26" s="83">
        <v>43497</v>
      </c>
      <c r="T26" s="83">
        <v>43830</v>
      </c>
      <c r="U26" s="84" t="s">
        <v>175</v>
      </c>
      <c r="V26" s="196"/>
      <c r="W26" s="202"/>
      <c r="X26" s="159"/>
      <c r="Y26" s="159"/>
      <c r="Z26" s="159"/>
      <c r="AA26" s="159"/>
      <c r="AB26" s="18"/>
      <c r="AC26" s="18"/>
      <c r="AD26" s="18"/>
      <c r="AE26" s="18"/>
      <c r="AF26" s="18"/>
      <c r="AG26" s="18"/>
      <c r="AH26" s="18"/>
      <c r="AI26" s="18"/>
    </row>
    <row r="27" spans="1:35" ht="214.5" x14ac:dyDescent="0.3">
      <c r="A27" s="157">
        <v>6</v>
      </c>
      <c r="B27" s="169" t="str">
        <f>+[7]Identificacion!B9</f>
        <v>ADMINISTRACIÓN DE TECNOLOGÍAS E INFORMACIÓN</v>
      </c>
      <c r="C27" s="169" t="str">
        <f>+[7]Identificacion!C9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69" t="str">
        <f>+[7]Identificacion!D9</f>
        <v xml:space="preserve">
Desconocimiento de las autoridades a las cuales reportar incidentes de seguridad
Ausencia de comunicación sobre seguridad de la información 
Fallas en el seguimiento a los procedimientos del proceso.
</v>
      </c>
      <c r="E27" s="169" t="str">
        <f>+[7]Identificacion!E9</f>
        <v>Exposición a incidentes por inadecuada gestión de los mismos afectando la  integridad, confidencialidad y disponibilidad de la información.</v>
      </c>
      <c r="F27" s="169" t="str">
        <f>+[7]Identificacion!F9</f>
        <v>Pérdida de imagen ante las autoridades en términos de Seguridad de la Información e incumplimiento normativo del Gobierno Nacional ( MinTic y demás entidades).</v>
      </c>
      <c r="G27" s="157">
        <f>+[7]Probabilidad!E19</f>
        <v>4</v>
      </c>
      <c r="H27" s="157">
        <f>+'[7]Impacto '!D11</f>
        <v>4</v>
      </c>
      <c r="I27" s="23">
        <f t="shared" si="3"/>
        <v>16</v>
      </c>
      <c r="J27" s="166" t="str">
        <f>IF(AND(I27&gt;=0,I27&lt;=4),'[7]Calificación de Riesgos'!$H$10,IF(I27&lt;7,'[7]Calificación de Riesgos'!$H$9,IF(I27&lt;13,'[7]Calificación de Riesgos'!$H$8,IF(I27&lt;=25,'[7]Calificación de Riesgos'!$H$7))))</f>
        <v>EXTREMA</v>
      </c>
      <c r="K27" s="169" t="s">
        <v>204</v>
      </c>
      <c r="L27" s="199">
        <f t="shared" si="1"/>
        <v>3</v>
      </c>
      <c r="M27" s="199">
        <f t="shared" si="1"/>
        <v>3</v>
      </c>
      <c r="N27" s="23">
        <f t="shared" si="4"/>
        <v>9</v>
      </c>
      <c r="O27" s="175" t="str">
        <f>IF(AND(N27&gt;=0,N27&lt;=4),'[7]Calificación de Riesgos'!$H$10,IF(N27&lt;7,'[7]Calificación de Riesgos'!$H$9,IF(N27&lt;13,'[7]Calificación de Riesgos'!$H$8,IF(N27&lt;=25,'[7]Calificación de Riesgos'!$H$7))))</f>
        <v>ALTA</v>
      </c>
      <c r="P27" s="157" t="s">
        <v>7</v>
      </c>
      <c r="Q27" s="22" t="s">
        <v>205</v>
      </c>
      <c r="R27" s="24" t="s">
        <v>182</v>
      </c>
      <c r="S27" s="83">
        <v>43497</v>
      </c>
      <c r="T27" s="83">
        <v>43830</v>
      </c>
      <c r="U27" s="84" t="s">
        <v>175</v>
      </c>
      <c r="V27" s="194" t="s">
        <v>528</v>
      </c>
      <c r="W27" s="102" t="s">
        <v>540</v>
      </c>
      <c r="X27" s="157" t="s">
        <v>467</v>
      </c>
      <c r="Y27" s="157" t="s">
        <v>468</v>
      </c>
      <c r="Z27" s="157" t="s">
        <v>520</v>
      </c>
      <c r="AA27" s="157" t="s">
        <v>520</v>
      </c>
      <c r="AB27" s="18"/>
      <c r="AC27" s="18"/>
      <c r="AD27" s="18"/>
      <c r="AE27" s="18"/>
      <c r="AF27" s="18"/>
      <c r="AG27" s="18"/>
      <c r="AH27" s="18"/>
      <c r="AI27" s="18"/>
    </row>
    <row r="28" spans="1:35" ht="132" x14ac:dyDescent="0.3">
      <c r="A28" s="159"/>
      <c r="B28" s="171"/>
      <c r="C28" s="171"/>
      <c r="D28" s="171"/>
      <c r="E28" s="171"/>
      <c r="F28" s="171"/>
      <c r="G28" s="159"/>
      <c r="H28" s="159"/>
      <c r="I28" s="23"/>
      <c r="J28" s="168"/>
      <c r="K28" s="171"/>
      <c r="L28" s="201"/>
      <c r="M28" s="201"/>
      <c r="N28" s="23"/>
      <c r="O28" s="176"/>
      <c r="P28" s="159"/>
      <c r="Q28" s="22" t="s">
        <v>206</v>
      </c>
      <c r="R28" s="24" t="s">
        <v>182</v>
      </c>
      <c r="S28" s="83">
        <v>43497</v>
      </c>
      <c r="T28" s="83">
        <v>43830</v>
      </c>
      <c r="U28" s="84" t="s">
        <v>175</v>
      </c>
      <c r="V28" s="196"/>
      <c r="W28" s="102" t="s">
        <v>541</v>
      </c>
      <c r="X28" s="159"/>
      <c r="Y28" s="159"/>
      <c r="Z28" s="159"/>
      <c r="AA28" s="159"/>
      <c r="AB28" s="18"/>
      <c r="AC28" s="18"/>
      <c r="AD28" s="18"/>
      <c r="AE28" s="18"/>
      <c r="AF28" s="18"/>
      <c r="AG28" s="18"/>
      <c r="AH28" s="18"/>
      <c r="AI28" s="18"/>
    </row>
    <row r="29" spans="1:35" ht="297" customHeight="1" x14ac:dyDescent="0.3">
      <c r="A29" s="157">
        <v>7</v>
      </c>
      <c r="B29" s="169" t="str">
        <f>+[7]Identificacion!B10</f>
        <v>ADMINISTRACIÓN DE TECNOLOGÍAS E INFORMACIÓN</v>
      </c>
      <c r="C29" s="169"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69" t="str">
        <f>+[7]Identificacion!D10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69" t="str">
        <f>+[7]Identificacion!E10</f>
        <v>Pérdida o fuga de información sensible de la Agencia Nacional de Minería afectando la integridad, disponibilidad y confidencialidad de la información.</v>
      </c>
      <c r="F29" s="169" t="str">
        <f>+[7]Identificacion!F10</f>
        <v>Afectación de imagen institucional e incumplimiento legal</v>
      </c>
      <c r="G29" s="157">
        <f>+[7]Probabilidad!E20</f>
        <v>3</v>
      </c>
      <c r="H29" s="157">
        <f>+'[7]Impacto '!D12</f>
        <v>4</v>
      </c>
      <c r="I29" s="23">
        <f t="shared" si="3"/>
        <v>12</v>
      </c>
      <c r="J29" s="175" t="str">
        <f>IF(AND(I29&gt;=0,I29&lt;=4),'[7]Calificación de Riesgos'!$H$10,IF(I29&lt;7,'[7]Calificación de Riesgos'!$H$9,IF(I29&lt;13,'[7]Calificación de Riesgos'!$H$8,IF(I29&lt;=25,'[7]Calificación de Riesgos'!$H$7))))</f>
        <v>ALTA</v>
      </c>
      <c r="K29" s="169" t="s">
        <v>207</v>
      </c>
      <c r="L29" s="199">
        <f t="shared" si="1"/>
        <v>2</v>
      </c>
      <c r="M29" s="199">
        <f t="shared" si="1"/>
        <v>3</v>
      </c>
      <c r="N29" s="23">
        <f t="shared" si="4"/>
        <v>6</v>
      </c>
      <c r="O29" s="181" t="str">
        <f>IF(AND(N29&gt;=0,N29&lt;=4),'[7]Calificación de Riesgos'!$H$10,IF(N29&lt;7,'[7]Calificación de Riesgos'!$H$9,IF(N29&lt;13,'[7]Calificación de Riesgos'!$H$8,IF(N29&lt;=25,'[7]Calificación de Riesgos'!$H$7))))</f>
        <v>MODERADA</v>
      </c>
      <c r="P29" s="157" t="s">
        <v>7</v>
      </c>
      <c r="Q29" s="22" t="s">
        <v>208</v>
      </c>
      <c r="R29" s="24" t="s">
        <v>182</v>
      </c>
      <c r="S29" s="83">
        <v>43497</v>
      </c>
      <c r="T29" s="83">
        <v>43830</v>
      </c>
      <c r="U29" s="84" t="s">
        <v>175</v>
      </c>
      <c r="V29" s="194" t="s">
        <v>528</v>
      </c>
      <c r="W29" s="124" t="s">
        <v>542</v>
      </c>
      <c r="X29" s="157" t="s">
        <v>467</v>
      </c>
      <c r="Y29" s="157" t="s">
        <v>468</v>
      </c>
      <c r="Z29" s="157" t="s">
        <v>520</v>
      </c>
      <c r="AA29" s="157" t="s">
        <v>520</v>
      </c>
      <c r="AB29" s="18"/>
      <c r="AC29" s="18"/>
      <c r="AD29" s="18"/>
      <c r="AE29" s="18"/>
      <c r="AF29" s="18"/>
      <c r="AG29" s="18"/>
      <c r="AH29" s="18"/>
      <c r="AI29" s="18"/>
    </row>
    <row r="30" spans="1:35" ht="49.5" x14ac:dyDescent="0.3">
      <c r="A30" s="158"/>
      <c r="B30" s="170"/>
      <c r="C30" s="170"/>
      <c r="D30" s="170"/>
      <c r="E30" s="170"/>
      <c r="F30" s="170"/>
      <c r="G30" s="158"/>
      <c r="H30" s="158"/>
      <c r="I30" s="23"/>
      <c r="J30" s="198"/>
      <c r="K30" s="170"/>
      <c r="L30" s="200"/>
      <c r="M30" s="200"/>
      <c r="N30" s="23"/>
      <c r="O30" s="185"/>
      <c r="P30" s="158"/>
      <c r="Q30" s="22" t="s">
        <v>209</v>
      </c>
      <c r="R30" s="24" t="s">
        <v>182</v>
      </c>
      <c r="S30" s="83">
        <v>43497</v>
      </c>
      <c r="T30" s="83">
        <v>43830</v>
      </c>
      <c r="U30" s="84" t="s">
        <v>175</v>
      </c>
      <c r="V30" s="195"/>
      <c r="W30" s="102" t="s">
        <v>543</v>
      </c>
      <c r="X30" s="158"/>
      <c r="Y30" s="158"/>
      <c r="Z30" s="158"/>
      <c r="AA30" s="158"/>
      <c r="AB30" s="18"/>
      <c r="AC30" s="18"/>
      <c r="AD30" s="18"/>
      <c r="AE30" s="18"/>
      <c r="AF30" s="18"/>
      <c r="AG30" s="18"/>
      <c r="AH30" s="18"/>
      <c r="AI30" s="18"/>
    </row>
    <row r="31" spans="1:35" ht="132" x14ac:dyDescent="0.3">
      <c r="A31" s="159"/>
      <c r="B31" s="171"/>
      <c r="C31" s="171"/>
      <c r="D31" s="171"/>
      <c r="E31" s="171"/>
      <c r="F31" s="171"/>
      <c r="G31" s="159"/>
      <c r="H31" s="159"/>
      <c r="I31" s="23"/>
      <c r="J31" s="176"/>
      <c r="K31" s="171"/>
      <c r="L31" s="201"/>
      <c r="M31" s="201"/>
      <c r="N31" s="23"/>
      <c r="O31" s="182"/>
      <c r="P31" s="159"/>
      <c r="Q31" s="22" t="s">
        <v>210</v>
      </c>
      <c r="R31" s="24" t="s">
        <v>182</v>
      </c>
      <c r="S31" s="83">
        <v>43497</v>
      </c>
      <c r="T31" s="83">
        <v>43830</v>
      </c>
      <c r="U31" s="84" t="s">
        <v>175</v>
      </c>
      <c r="V31" s="196"/>
      <c r="W31" s="102" t="s">
        <v>544</v>
      </c>
      <c r="X31" s="159"/>
      <c r="Y31" s="159"/>
      <c r="Z31" s="159"/>
      <c r="AA31" s="159"/>
      <c r="AB31" s="18"/>
      <c r="AC31" s="18"/>
      <c r="AD31" s="18"/>
      <c r="AE31" s="18"/>
      <c r="AF31" s="18"/>
      <c r="AG31" s="18"/>
      <c r="AH31" s="18"/>
      <c r="AI31" s="18"/>
    </row>
    <row r="32" spans="1:35" ht="198" x14ac:dyDescent="0.3">
      <c r="A32" s="157">
        <v>8</v>
      </c>
      <c r="B32" s="169" t="str">
        <f>+[7]Identificacion!B11</f>
        <v>ADMINISTRACIÓN DE TECNOLOGÍAS E INFORMACIÓN</v>
      </c>
      <c r="C32" s="169" t="str">
        <f>+[7]Identificacion!C11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69" t="str">
        <f>+[7]Identificacion!D11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69" t="str">
        <f>+[7]Identificacion!E11</f>
        <v>Interrupción de los servicios tecnológicos de la Agencia Nacional de Minería afectando la integridad, disponibilidad de la información.</v>
      </c>
      <c r="F32" s="169" t="str">
        <f>+[7]Identificacion!F11</f>
        <v>Afectación de imagen y llamados de atención
Afectación en la oportunidad en la prestación de los servicios de la Entidad</v>
      </c>
      <c r="G32" s="157">
        <f>+[7]Probabilidad!E21</f>
        <v>3</v>
      </c>
      <c r="H32" s="157">
        <f>+'[7]Impacto '!D13</f>
        <v>5</v>
      </c>
      <c r="I32" s="23">
        <f t="shared" si="3"/>
        <v>15</v>
      </c>
      <c r="J32" s="166" t="str">
        <f>IF(AND(I32&gt;=0,I32&lt;=4),'[7]Calificación de Riesgos'!$H$10,IF(I32&lt;7,'[7]Calificación de Riesgos'!$H$9,IF(I32&lt;13,'[7]Calificación de Riesgos'!$H$8,IF(I32&lt;=25,'[7]Calificación de Riesgos'!$H$7))))</f>
        <v>EXTREMA</v>
      </c>
      <c r="K32" s="169" t="s">
        <v>211</v>
      </c>
      <c r="L32" s="199">
        <f t="shared" si="1"/>
        <v>2</v>
      </c>
      <c r="M32" s="199">
        <f t="shared" si="1"/>
        <v>4</v>
      </c>
      <c r="N32" s="23">
        <f t="shared" si="4"/>
        <v>8</v>
      </c>
      <c r="O32" s="175" t="str">
        <f>IF(AND(N32&gt;=0,N32&lt;=4),'[7]Calificación de Riesgos'!$H$10,IF(N32&lt;7,'[7]Calificación de Riesgos'!$H$9,IF(N32&lt;13,'[7]Calificación de Riesgos'!$H$8,IF(N32&lt;=25,'[7]Calificación de Riesgos'!$H$7))))</f>
        <v>ALTA</v>
      </c>
      <c r="P32" s="157" t="s">
        <v>7</v>
      </c>
      <c r="Q32" s="85" t="s">
        <v>212</v>
      </c>
      <c r="R32" s="24" t="s">
        <v>182</v>
      </c>
      <c r="S32" s="83">
        <v>43497</v>
      </c>
      <c r="T32" s="83">
        <v>43830</v>
      </c>
      <c r="U32" s="84" t="s">
        <v>175</v>
      </c>
      <c r="V32" s="194" t="s">
        <v>545</v>
      </c>
      <c r="W32" s="102" t="s">
        <v>546</v>
      </c>
      <c r="X32" s="157" t="s">
        <v>467</v>
      </c>
      <c r="Y32" s="157" t="s">
        <v>468</v>
      </c>
      <c r="Z32" s="157" t="s">
        <v>520</v>
      </c>
      <c r="AA32" s="157" t="s">
        <v>520</v>
      </c>
      <c r="AB32" s="18"/>
      <c r="AC32" s="18"/>
      <c r="AD32" s="18"/>
      <c r="AE32" s="18"/>
      <c r="AF32" s="18"/>
      <c r="AG32" s="18"/>
      <c r="AH32" s="18"/>
      <c r="AI32" s="18"/>
    </row>
    <row r="33" spans="1:35" ht="132" x14ac:dyDescent="0.3">
      <c r="A33" s="158"/>
      <c r="B33" s="170"/>
      <c r="C33" s="170"/>
      <c r="D33" s="170"/>
      <c r="E33" s="170"/>
      <c r="F33" s="170"/>
      <c r="G33" s="158"/>
      <c r="H33" s="158"/>
      <c r="I33" s="23"/>
      <c r="J33" s="167"/>
      <c r="K33" s="170"/>
      <c r="L33" s="200"/>
      <c r="M33" s="200"/>
      <c r="N33" s="23"/>
      <c r="O33" s="198"/>
      <c r="P33" s="158"/>
      <c r="Q33" s="85" t="s">
        <v>213</v>
      </c>
      <c r="R33" s="24" t="s">
        <v>182</v>
      </c>
      <c r="S33" s="83">
        <v>43497</v>
      </c>
      <c r="T33" s="83">
        <v>43830</v>
      </c>
      <c r="U33" s="84" t="s">
        <v>175</v>
      </c>
      <c r="V33" s="195"/>
      <c r="W33" s="102" t="s">
        <v>544</v>
      </c>
      <c r="X33" s="158"/>
      <c r="Y33" s="158"/>
      <c r="Z33" s="158"/>
      <c r="AA33" s="158"/>
      <c r="AB33" s="18"/>
      <c r="AC33" s="18"/>
      <c r="AD33" s="18"/>
      <c r="AE33" s="18"/>
      <c r="AF33" s="18"/>
      <c r="AG33" s="18"/>
      <c r="AH33" s="18"/>
      <c r="AI33" s="18"/>
    </row>
    <row r="34" spans="1:35" ht="132" x14ac:dyDescent="0.3">
      <c r="A34" s="159"/>
      <c r="B34" s="171"/>
      <c r="C34" s="171"/>
      <c r="D34" s="171"/>
      <c r="E34" s="171"/>
      <c r="F34" s="171"/>
      <c r="G34" s="159"/>
      <c r="H34" s="159"/>
      <c r="I34" s="23"/>
      <c r="J34" s="168"/>
      <c r="K34" s="171"/>
      <c r="L34" s="201"/>
      <c r="M34" s="201"/>
      <c r="N34" s="23"/>
      <c r="O34" s="176"/>
      <c r="P34" s="159"/>
      <c r="Q34" s="85" t="s">
        <v>214</v>
      </c>
      <c r="R34" s="24" t="s">
        <v>182</v>
      </c>
      <c r="S34" s="83">
        <v>43497</v>
      </c>
      <c r="T34" s="83">
        <v>43830</v>
      </c>
      <c r="U34" s="84" t="s">
        <v>175</v>
      </c>
      <c r="V34" s="196"/>
      <c r="W34" s="102" t="s">
        <v>544</v>
      </c>
      <c r="X34" s="159"/>
      <c r="Y34" s="159"/>
      <c r="Z34" s="159"/>
      <c r="AA34" s="159"/>
      <c r="AB34" s="18"/>
      <c r="AC34" s="18"/>
      <c r="AD34" s="18"/>
      <c r="AE34" s="18"/>
      <c r="AF34" s="18"/>
      <c r="AG34" s="18"/>
      <c r="AH34" s="18"/>
      <c r="AI34" s="18"/>
    </row>
    <row r="35" spans="1:35" ht="82.5" x14ac:dyDescent="0.3">
      <c r="A35" s="157">
        <v>9</v>
      </c>
      <c r="B35" s="169" t="str">
        <f>+[7]Identificacion!B12</f>
        <v>ADMINISTRACIÓN DE TECNOLOGÍAS E INFORMACIÓN</v>
      </c>
      <c r="C35" s="169" t="str">
        <f>+[7]Identificacion!C12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69" t="str">
        <f>+[7]Identificacion!D12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69" t="str">
        <f>+[7]Identificacion!E12</f>
        <v>Inapropiado funcionamiento de los sistemas de información propios de la agencia afectando la disponibilidad de la información.</v>
      </c>
      <c r="F35" s="169" t="str">
        <f>+[7]Identificacion!F12</f>
        <v>Afectación de imagen y llamados de atención
Afectación en la oportunidad en la prestación de los servicios de la Entidad</v>
      </c>
      <c r="G35" s="157">
        <f>+[7]Probabilidad!E22</f>
        <v>3</v>
      </c>
      <c r="H35" s="157">
        <f>+'[7]Impacto '!D14</f>
        <v>4</v>
      </c>
      <c r="I35" s="23">
        <f t="shared" si="3"/>
        <v>12</v>
      </c>
      <c r="J35" s="175" t="str">
        <f>IF(AND(I35&gt;=0,I35&lt;=4),'[7]Calificación de Riesgos'!$H$10,IF(I35&lt;7,'[7]Calificación de Riesgos'!$H$9,IF(I35&lt;13,'[7]Calificación de Riesgos'!$H$8,IF(I35&lt;=25,'[7]Calificación de Riesgos'!$H$7))))</f>
        <v>ALTA</v>
      </c>
      <c r="K35" s="169" t="s">
        <v>215</v>
      </c>
      <c r="L35" s="199">
        <f t="shared" si="1"/>
        <v>2</v>
      </c>
      <c r="M35" s="199">
        <f t="shared" si="1"/>
        <v>3</v>
      </c>
      <c r="N35" s="23">
        <f t="shared" si="4"/>
        <v>6</v>
      </c>
      <c r="O35" s="181" t="str">
        <f>IF(AND(N35&gt;=0,N35&lt;=4),'[7]Calificación de Riesgos'!$H$10,IF(N35&lt;7,'[7]Calificación de Riesgos'!$H$9,IF(N35&lt;13,'[7]Calificación de Riesgos'!$H$8,IF(N35&lt;=25,'[7]Calificación de Riesgos'!$H$7))))</f>
        <v>MODERADA</v>
      </c>
      <c r="P35" s="157" t="s">
        <v>7</v>
      </c>
      <c r="Q35" s="85" t="s">
        <v>216</v>
      </c>
      <c r="R35" s="24" t="s">
        <v>182</v>
      </c>
      <c r="S35" s="83">
        <v>43497</v>
      </c>
      <c r="T35" s="83">
        <v>43830</v>
      </c>
      <c r="U35" s="84" t="s">
        <v>175</v>
      </c>
      <c r="V35" s="194" t="s">
        <v>547</v>
      </c>
      <c r="W35" s="102" t="s">
        <v>548</v>
      </c>
      <c r="X35" s="157" t="s">
        <v>467</v>
      </c>
      <c r="Y35" s="157" t="s">
        <v>468</v>
      </c>
      <c r="Z35" s="157" t="s">
        <v>520</v>
      </c>
      <c r="AA35" s="157" t="s">
        <v>520</v>
      </c>
      <c r="AB35" s="18"/>
      <c r="AC35" s="18"/>
      <c r="AD35" s="18"/>
      <c r="AE35" s="18"/>
      <c r="AF35" s="18"/>
      <c r="AG35" s="18"/>
      <c r="AH35" s="18"/>
      <c r="AI35" s="18"/>
    </row>
    <row r="36" spans="1:35" ht="165" x14ac:dyDescent="0.3">
      <c r="A36" s="158"/>
      <c r="B36" s="170"/>
      <c r="C36" s="170"/>
      <c r="D36" s="170"/>
      <c r="E36" s="170"/>
      <c r="F36" s="170"/>
      <c r="G36" s="158"/>
      <c r="H36" s="158"/>
      <c r="I36" s="23"/>
      <c r="J36" s="198"/>
      <c r="K36" s="170"/>
      <c r="L36" s="200"/>
      <c r="M36" s="200"/>
      <c r="N36" s="23"/>
      <c r="O36" s="185"/>
      <c r="P36" s="158"/>
      <c r="Q36" s="85" t="s">
        <v>217</v>
      </c>
      <c r="R36" s="24" t="s">
        <v>182</v>
      </c>
      <c r="S36" s="83">
        <v>43497</v>
      </c>
      <c r="T36" s="83">
        <v>43830</v>
      </c>
      <c r="U36" s="84" t="s">
        <v>175</v>
      </c>
      <c r="V36" s="195"/>
      <c r="W36" s="102" t="s">
        <v>549</v>
      </c>
      <c r="X36" s="158"/>
      <c r="Y36" s="158"/>
      <c r="Z36" s="158"/>
      <c r="AA36" s="158"/>
      <c r="AB36" s="18"/>
      <c r="AC36" s="18"/>
      <c r="AD36" s="18"/>
      <c r="AE36" s="18"/>
      <c r="AF36" s="18"/>
      <c r="AG36" s="18"/>
      <c r="AH36" s="18"/>
      <c r="AI36" s="18"/>
    </row>
    <row r="37" spans="1:35" ht="148.5" x14ac:dyDescent="0.3">
      <c r="A37" s="159"/>
      <c r="B37" s="171"/>
      <c r="C37" s="171"/>
      <c r="D37" s="171"/>
      <c r="E37" s="171"/>
      <c r="F37" s="171"/>
      <c r="G37" s="159"/>
      <c r="H37" s="159"/>
      <c r="I37" s="23"/>
      <c r="J37" s="176"/>
      <c r="K37" s="171"/>
      <c r="L37" s="201"/>
      <c r="M37" s="201"/>
      <c r="N37" s="23"/>
      <c r="O37" s="182"/>
      <c r="P37" s="159"/>
      <c r="Q37" s="85" t="s">
        <v>218</v>
      </c>
      <c r="R37" s="24" t="s">
        <v>182</v>
      </c>
      <c r="S37" s="83">
        <v>43497</v>
      </c>
      <c r="T37" s="83">
        <v>43830</v>
      </c>
      <c r="U37" s="84" t="s">
        <v>175</v>
      </c>
      <c r="V37" s="196"/>
      <c r="W37" s="102" t="s">
        <v>550</v>
      </c>
      <c r="X37" s="159"/>
      <c r="Y37" s="159"/>
      <c r="Z37" s="159"/>
      <c r="AA37" s="159"/>
      <c r="AB37" s="18"/>
      <c r="AC37" s="18"/>
      <c r="AD37" s="18"/>
      <c r="AE37" s="18"/>
      <c r="AF37" s="18"/>
      <c r="AG37" s="18"/>
      <c r="AH37" s="18"/>
      <c r="AI37" s="18"/>
    </row>
    <row r="38" spans="1:35" ht="148.5" x14ac:dyDescent="0.3">
      <c r="A38" s="23">
        <v>10</v>
      </c>
      <c r="B38" s="22" t="str">
        <f>+[7]Identificacion!B13</f>
        <v>ADMINISTRACIÓN DE TECNOLOGÍAS E INFORMACIÓN</v>
      </c>
      <c r="C38" s="22" t="str">
        <f>+[7]Identificacion!C13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2" t="str">
        <f>+[7]Identificacion!D13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2" t="str">
        <f>+[7]Identificacion!E13</f>
        <v>Falla parcial en los servicios tecnológicos de la Agencia afectando la disponibilidad de la información</v>
      </c>
      <c r="F38" s="22" t="str">
        <f>+[7]Identificacion!F13</f>
        <v>Afectación de imagen y llamados de atención
Afectación en la oportunidad en la prestación de los servicios de la Entidad</v>
      </c>
      <c r="G38" s="23">
        <f>+[7]Probabilidad!E23</f>
        <v>4</v>
      </c>
      <c r="H38" s="23">
        <f>+'[7]Impacto '!D15</f>
        <v>5</v>
      </c>
      <c r="I38" s="23">
        <f t="shared" si="3"/>
        <v>20</v>
      </c>
      <c r="J38" s="88" t="str">
        <f>IF(AND(I38&gt;=0,I38&lt;=4),'[7]Calificación de Riesgos'!$H$10,IF(I38&lt;7,'[7]Calificación de Riesgos'!$H$9,IF(I38&lt;13,'[7]Calificación de Riesgos'!$H$8,IF(I38&lt;=25,'[7]Calificación de Riesgos'!$H$7))))</f>
        <v>EXTREMA</v>
      </c>
      <c r="K38" s="22" t="s">
        <v>219</v>
      </c>
      <c r="L38" s="86">
        <f t="shared" si="1"/>
        <v>3</v>
      </c>
      <c r="M38" s="86">
        <f t="shared" si="1"/>
        <v>4</v>
      </c>
      <c r="N38" s="23">
        <f t="shared" si="4"/>
        <v>12</v>
      </c>
      <c r="O38" s="78" t="str">
        <f>IF(AND(N38&gt;=0,N38&lt;=4),'[7]Calificación de Riesgos'!$H$10,IF(N38&lt;7,'[7]Calificación de Riesgos'!$H$9,IF(N38&lt;13,'[7]Calificación de Riesgos'!$H$8,IF(N38&lt;=25,'[7]Calificación de Riesgos'!$H$7))))</f>
        <v>ALTA</v>
      </c>
      <c r="P38" s="18" t="s">
        <v>7</v>
      </c>
      <c r="Q38" s="85" t="s">
        <v>220</v>
      </c>
      <c r="R38" s="24" t="s">
        <v>182</v>
      </c>
      <c r="S38" s="83">
        <v>43497</v>
      </c>
      <c r="T38" s="83">
        <v>43830</v>
      </c>
      <c r="U38" s="84" t="s">
        <v>175</v>
      </c>
      <c r="V38" s="126" t="s">
        <v>551</v>
      </c>
      <c r="W38" s="102" t="s">
        <v>552</v>
      </c>
      <c r="X38" s="18" t="s">
        <v>467</v>
      </c>
      <c r="Y38" s="112" t="s">
        <v>468</v>
      </c>
      <c r="Z38" s="18" t="s">
        <v>520</v>
      </c>
      <c r="AA38" s="18" t="s">
        <v>520</v>
      </c>
      <c r="AB38" s="18"/>
      <c r="AC38" s="18"/>
      <c r="AD38" s="18"/>
      <c r="AE38" s="18"/>
      <c r="AF38" s="18"/>
      <c r="AG38" s="18"/>
      <c r="AH38" s="18"/>
      <c r="AI38" s="18"/>
    </row>
    <row r="39" spans="1:35" x14ac:dyDescent="0.3">
      <c r="V39" s="17"/>
      <c r="W39" s="17"/>
    </row>
  </sheetData>
  <mergeCells count="182">
    <mergeCell ref="A1:AA5"/>
    <mergeCell ref="V32:V34"/>
    <mergeCell ref="X32:X34"/>
    <mergeCell ref="Y32:Y34"/>
    <mergeCell ref="Z32:Z34"/>
    <mergeCell ref="AA32:AA34"/>
    <mergeCell ref="V35:V37"/>
    <mergeCell ref="X35:X37"/>
    <mergeCell ref="Y35:Y37"/>
    <mergeCell ref="Z35:Z37"/>
    <mergeCell ref="AA35:AA37"/>
    <mergeCell ref="V27:V28"/>
    <mergeCell ref="X27:X28"/>
    <mergeCell ref="Y27:Y28"/>
    <mergeCell ref="Z27:Z28"/>
    <mergeCell ref="AA27:AA28"/>
    <mergeCell ref="V29:V31"/>
    <mergeCell ref="X29:X31"/>
    <mergeCell ref="Y29:Y31"/>
    <mergeCell ref="Z29:Z31"/>
    <mergeCell ref="AA29:AA31"/>
    <mergeCell ref="V20:V24"/>
    <mergeCell ref="X20:X24"/>
    <mergeCell ref="Y20:Y24"/>
    <mergeCell ref="Z20:Z24"/>
    <mergeCell ref="AA20:AA24"/>
    <mergeCell ref="V25:V26"/>
    <mergeCell ref="W25:W26"/>
    <mergeCell ref="X25:X26"/>
    <mergeCell ref="Y25:Y26"/>
    <mergeCell ref="Z25:Z26"/>
    <mergeCell ref="AA25:AA26"/>
    <mergeCell ref="V12:V15"/>
    <mergeCell ref="X12:X15"/>
    <mergeCell ref="Y12:Y15"/>
    <mergeCell ref="Z12:Z15"/>
    <mergeCell ref="AA12:AA15"/>
    <mergeCell ref="V16:V19"/>
    <mergeCell ref="X16:X19"/>
    <mergeCell ref="Y16:Y19"/>
    <mergeCell ref="Z16:Z19"/>
    <mergeCell ref="AA16:AA19"/>
    <mergeCell ref="O35:O37"/>
    <mergeCell ref="P35:P37"/>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V9:V11"/>
    <mergeCell ref="X9:X11"/>
    <mergeCell ref="Y9:Y11"/>
    <mergeCell ref="Z9:Z11"/>
    <mergeCell ref="AA9:AA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565E0648-D60E-451B-A4BE-3A2C41C006E9}">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542DD01-50C0-408E-808D-2CDEC78FD328}">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x14:cfRule>
          <x14:cfRule type="containsText" priority="9" operator="containsText" id="{74E064E5-BB9A-43F0-B32A-9A4A454AF012}">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x14:cfRule>
          <x14:cfRule type="containsText" priority="4" operator="containsText" id="{615417C2-F4D6-494E-98DF-990A8BCD50BE}">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12" sqref="A12:A14"/>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42" style="14" customWidth="1"/>
    <col min="23" max="23" width="47.42578125" style="14" customWidth="1"/>
    <col min="24" max="24" width="17.140625" style="14" customWidth="1"/>
    <col min="25" max="25" width="22.7109375" style="14" customWidth="1"/>
    <col min="26" max="27" width="11.42578125" style="14"/>
    <col min="28" max="37" width="0" style="14" hidden="1" customWidth="1"/>
    <col min="38" max="16384" width="11.42578125" style="14"/>
  </cols>
  <sheetData>
    <row r="1" spans="1:35" ht="9.75" hidden="1" customHeight="1" x14ac:dyDescent="0.3">
      <c r="B1" s="204"/>
      <c r="C1" s="205"/>
      <c r="D1" s="205"/>
      <c r="E1" s="205"/>
      <c r="F1" s="205"/>
      <c r="G1" s="205"/>
      <c r="H1" s="205"/>
      <c r="I1" s="205"/>
      <c r="J1" s="205"/>
      <c r="K1" s="205"/>
      <c r="L1" s="205"/>
      <c r="M1" s="205"/>
      <c r="N1" s="205"/>
      <c r="O1" s="205"/>
      <c r="P1" s="205"/>
      <c r="Q1" s="205"/>
      <c r="R1" s="205"/>
      <c r="S1" s="205"/>
      <c r="T1" s="205"/>
      <c r="U1" s="205"/>
      <c r="V1" s="206"/>
    </row>
    <row r="2" spans="1:35" hidden="1" x14ac:dyDescent="0.3">
      <c r="B2" s="207"/>
      <c r="C2" s="208"/>
      <c r="D2" s="208"/>
      <c r="E2" s="208"/>
      <c r="F2" s="208"/>
      <c r="G2" s="208"/>
      <c r="H2" s="208"/>
      <c r="I2" s="208"/>
      <c r="J2" s="208"/>
      <c r="K2" s="208"/>
      <c r="L2" s="208"/>
      <c r="M2" s="208"/>
      <c r="N2" s="208"/>
      <c r="O2" s="208"/>
      <c r="P2" s="208"/>
      <c r="Q2" s="208"/>
      <c r="R2" s="208"/>
      <c r="S2" s="208"/>
      <c r="T2" s="208"/>
      <c r="U2" s="208"/>
      <c r="V2" s="209"/>
      <c r="W2" s="29"/>
    </row>
    <row r="3" spans="1:35" ht="28.5" hidden="1" customHeight="1" x14ac:dyDescent="0.3">
      <c r="B3" s="210"/>
      <c r="C3" s="210"/>
      <c r="D3" s="210"/>
      <c r="E3" s="210"/>
      <c r="F3" s="210"/>
      <c r="G3" s="210"/>
      <c r="H3" s="210"/>
      <c r="I3" s="210"/>
      <c r="J3" s="210"/>
      <c r="K3" s="210"/>
      <c r="L3" s="210"/>
      <c r="M3" s="210"/>
      <c r="N3" s="210"/>
      <c r="O3" s="210"/>
      <c r="P3" s="210"/>
      <c r="Q3" s="210"/>
      <c r="R3" s="210"/>
      <c r="S3" s="210"/>
      <c r="T3" s="210"/>
      <c r="U3" s="210"/>
      <c r="V3" s="210"/>
      <c r="W3" s="29"/>
    </row>
    <row r="4" spans="1:35" ht="16.5" customHeight="1" x14ac:dyDescent="0.3">
      <c r="A4" s="177" t="s">
        <v>236</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35" ht="16.5" customHeight="1" x14ac:dyDescent="0.3">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35" ht="13.5" customHeight="1" x14ac:dyDescent="0.3">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35" ht="13.5" customHeight="1" x14ac:dyDescent="0.3">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35" ht="13.5" customHeight="1" x14ac:dyDescent="0.3">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row>
    <row r="9" spans="1:35" s="25" customFormat="1" ht="20.25" customHeight="1" x14ac:dyDescent="0.3">
      <c r="A9" s="156" t="s">
        <v>59</v>
      </c>
      <c r="B9" s="156"/>
      <c r="C9" s="156"/>
      <c r="D9" s="156"/>
      <c r="E9" s="156"/>
      <c r="F9" s="156"/>
      <c r="G9" s="155" t="s">
        <v>58</v>
      </c>
      <c r="H9" s="155"/>
      <c r="I9" s="155"/>
      <c r="J9" s="155"/>
      <c r="K9" s="26" t="s">
        <v>57</v>
      </c>
      <c r="L9" s="156" t="s">
        <v>56</v>
      </c>
      <c r="M9" s="156"/>
      <c r="N9" s="156"/>
      <c r="O9" s="156"/>
      <c r="P9" s="156"/>
      <c r="Q9" s="156" t="s">
        <v>55</v>
      </c>
      <c r="R9" s="156"/>
      <c r="S9" s="156"/>
      <c r="T9" s="156"/>
      <c r="U9" s="156"/>
      <c r="V9" s="156" t="s">
        <v>54</v>
      </c>
      <c r="W9" s="156"/>
      <c r="X9" s="156"/>
      <c r="Y9" s="156"/>
      <c r="Z9" s="156"/>
      <c r="AA9" s="156"/>
      <c r="AB9" s="149" t="s">
        <v>53</v>
      </c>
      <c r="AC9" s="150"/>
      <c r="AD9" s="150"/>
      <c r="AE9" s="150"/>
      <c r="AF9" s="150"/>
      <c r="AG9" s="150"/>
      <c r="AH9" s="150"/>
      <c r="AI9" s="151"/>
    </row>
    <row r="10" spans="1:35" s="25" customFormat="1" ht="43.5" customHeight="1" x14ac:dyDescent="0.3">
      <c r="A10" s="156"/>
      <c r="B10" s="156"/>
      <c r="C10" s="156"/>
      <c r="D10" s="156"/>
      <c r="E10" s="156"/>
      <c r="F10" s="156"/>
      <c r="G10" s="155" t="s">
        <v>52</v>
      </c>
      <c r="H10" s="155"/>
      <c r="I10" s="155"/>
      <c r="J10" s="155"/>
      <c r="K10" s="26" t="s">
        <v>51</v>
      </c>
      <c r="L10" s="155" t="s">
        <v>50</v>
      </c>
      <c r="M10" s="155"/>
      <c r="N10" s="28"/>
      <c r="O10" s="155" t="s">
        <v>49</v>
      </c>
      <c r="P10" s="155"/>
      <c r="Q10" s="156"/>
      <c r="R10" s="156"/>
      <c r="S10" s="156"/>
      <c r="T10" s="156"/>
      <c r="U10" s="156"/>
      <c r="V10" s="156"/>
      <c r="W10" s="156"/>
      <c r="X10" s="156"/>
      <c r="Y10" s="156"/>
      <c r="Z10" s="156"/>
      <c r="AA10" s="156"/>
      <c r="AB10" s="152"/>
      <c r="AC10" s="153"/>
      <c r="AD10" s="153"/>
      <c r="AE10" s="153"/>
      <c r="AF10" s="153"/>
      <c r="AG10" s="153"/>
      <c r="AH10" s="153"/>
      <c r="AI10" s="154"/>
    </row>
    <row r="11" spans="1:35" s="25" customFormat="1" ht="66" customHeight="1" x14ac:dyDescent="0.3">
      <c r="A11" s="26" t="s">
        <v>48</v>
      </c>
      <c r="B11" s="26" t="s">
        <v>47</v>
      </c>
      <c r="C11" s="26" t="s">
        <v>46</v>
      </c>
      <c r="D11" s="26" t="s">
        <v>45</v>
      </c>
      <c r="E11" s="26" t="s">
        <v>44</v>
      </c>
      <c r="F11" s="26" t="s">
        <v>43</v>
      </c>
      <c r="G11" s="26" t="s">
        <v>39</v>
      </c>
      <c r="H11" s="26" t="s">
        <v>38</v>
      </c>
      <c r="I11" s="26" t="s">
        <v>42</v>
      </c>
      <c r="J11" s="26" t="s">
        <v>41</v>
      </c>
      <c r="K11" s="26" t="s">
        <v>40</v>
      </c>
      <c r="L11" s="26" t="s">
        <v>39</v>
      </c>
      <c r="M11" s="26" t="s">
        <v>38</v>
      </c>
      <c r="N11" s="26" t="s">
        <v>37</v>
      </c>
      <c r="O11" s="26" t="s">
        <v>36</v>
      </c>
      <c r="P11" s="26" t="s">
        <v>35</v>
      </c>
      <c r="Q11" s="26" t="s">
        <v>34</v>
      </c>
      <c r="R11" s="26" t="s">
        <v>33</v>
      </c>
      <c r="S11" s="26" t="s">
        <v>32</v>
      </c>
      <c r="T11" s="26" t="s">
        <v>31</v>
      </c>
      <c r="U11" s="26" t="s">
        <v>30</v>
      </c>
      <c r="V11" s="26" t="s">
        <v>29</v>
      </c>
      <c r="W11" s="26" t="s">
        <v>28</v>
      </c>
      <c r="X11" s="26" t="s">
        <v>27</v>
      </c>
      <c r="Y11" s="26" t="s">
        <v>23</v>
      </c>
      <c r="Z11" s="26" t="s">
        <v>22</v>
      </c>
      <c r="AA11" s="26" t="s">
        <v>21</v>
      </c>
      <c r="AB11" s="26" t="s">
        <v>26</v>
      </c>
      <c r="AC11" s="26" t="s">
        <v>25</v>
      </c>
      <c r="AD11" s="26" t="s">
        <v>24</v>
      </c>
      <c r="AE11" s="26" t="s">
        <v>23</v>
      </c>
      <c r="AF11" s="26" t="s">
        <v>22</v>
      </c>
      <c r="AG11" s="26" t="s">
        <v>21</v>
      </c>
      <c r="AH11" s="26" t="s">
        <v>20</v>
      </c>
      <c r="AI11" s="26" t="s">
        <v>19</v>
      </c>
    </row>
    <row r="12" spans="1:35" s="17" customFormat="1" ht="99" x14ac:dyDescent="0.25">
      <c r="A12" s="157">
        <v>1</v>
      </c>
      <c r="B12" s="169" t="str">
        <f>+[8]Identificacion!B4</f>
        <v>GESTIÓN FINANCIERA</v>
      </c>
      <c r="C12" s="169" t="str">
        <f>+[8]Identificacion!C4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69" t="str">
        <f>+[8]Identificacion!D4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72" t="str">
        <f>+[8]Identificacion!E4</f>
        <v>Incumplimiento en  las Responsabilidades Tributarias</v>
      </c>
      <c r="F12" s="172" t="str">
        <f>+[8]Identificacion!F4</f>
        <v>1. Sanciones económicas a la entidad.</v>
      </c>
      <c r="G12" s="157">
        <f>+[8]Probabilidad!E14</f>
        <v>3</v>
      </c>
      <c r="H12" s="157">
        <f>+'[8]Impacto '!D6</f>
        <v>3</v>
      </c>
      <c r="I12" s="23">
        <f t="shared" ref="I12:I17" si="0">+G12*H12</f>
        <v>9</v>
      </c>
      <c r="J12" s="175" t="str">
        <f>IF(AND(I12&gt;=0,I12&lt;=4),'[8]Calificación de Riesgos'!$H$10,IF(I12&lt;7,'[8]Calificación de Riesgos'!$H$9,IF(I12&lt;13,'[8]Calificación de Riesgos'!$H$8,IF(I12&lt;=25,'[8]Calificación de Riesgos'!$H$7))))</f>
        <v>ALTA</v>
      </c>
      <c r="K12" s="211" t="s">
        <v>222</v>
      </c>
      <c r="L12" s="157">
        <v>1</v>
      </c>
      <c r="M12" s="157">
        <v>1</v>
      </c>
      <c r="N12" s="23">
        <f>+L12*M12</f>
        <v>1</v>
      </c>
      <c r="O12" s="183" t="str">
        <f>IF(AND(N12&gt;=0,N12&lt;=4),'[8]Calificación de Riesgos'!$H$10,IF(N12&lt;7,'[8]Calificación de Riesgos'!$H$9,IF(N12&lt;13,'[8]Calificación de Riesgos'!$H$8,IF(N12&lt;=25,'[8]Calificación de Riesgos'!$H$7))))</f>
        <v>BAJA</v>
      </c>
      <c r="P12" s="157" t="s">
        <v>7</v>
      </c>
      <c r="Q12" s="22" t="s">
        <v>223</v>
      </c>
      <c r="R12" s="24" t="s">
        <v>224</v>
      </c>
      <c r="S12" s="20">
        <v>43466</v>
      </c>
      <c r="T12" s="20">
        <v>43830</v>
      </c>
      <c r="U12" s="19" t="s">
        <v>225</v>
      </c>
      <c r="V12" s="66" t="s">
        <v>553</v>
      </c>
      <c r="W12" s="66" t="s">
        <v>553</v>
      </c>
      <c r="X12" s="112" t="s">
        <v>485</v>
      </c>
      <c r="Y12" s="112" t="s">
        <v>468</v>
      </c>
      <c r="Z12" s="18" t="s">
        <v>473</v>
      </c>
      <c r="AA12" s="18" t="s">
        <v>473</v>
      </c>
      <c r="AB12" s="18"/>
      <c r="AC12" s="18"/>
      <c r="AD12" s="18"/>
      <c r="AE12" s="18"/>
      <c r="AF12" s="18"/>
      <c r="AG12" s="18"/>
      <c r="AH12" s="18"/>
      <c r="AI12" s="18"/>
    </row>
    <row r="13" spans="1:35" s="17" customFormat="1" ht="132" x14ac:dyDescent="0.25">
      <c r="A13" s="158"/>
      <c r="B13" s="170"/>
      <c r="C13" s="170"/>
      <c r="D13" s="170"/>
      <c r="E13" s="173"/>
      <c r="F13" s="173"/>
      <c r="G13" s="158"/>
      <c r="H13" s="158"/>
      <c r="I13" s="23"/>
      <c r="J13" s="198"/>
      <c r="K13" s="212"/>
      <c r="L13" s="158"/>
      <c r="M13" s="158"/>
      <c r="N13" s="23"/>
      <c r="O13" s="197"/>
      <c r="P13" s="158"/>
      <c r="Q13" s="22" t="s">
        <v>226</v>
      </c>
      <c r="R13" s="24" t="s">
        <v>224</v>
      </c>
      <c r="S13" s="20">
        <v>43466</v>
      </c>
      <c r="T13" s="20">
        <v>43830</v>
      </c>
      <c r="U13" s="19" t="s">
        <v>225</v>
      </c>
      <c r="V13" s="66" t="s">
        <v>554</v>
      </c>
      <c r="W13" s="66" t="s">
        <v>555</v>
      </c>
      <c r="X13" s="112" t="s">
        <v>467</v>
      </c>
      <c r="Y13" s="112" t="s">
        <v>468</v>
      </c>
      <c r="Z13" s="18" t="s">
        <v>473</v>
      </c>
      <c r="AA13" s="18" t="s">
        <v>473</v>
      </c>
      <c r="AB13" s="18"/>
      <c r="AC13" s="18"/>
      <c r="AD13" s="18"/>
      <c r="AE13" s="18"/>
      <c r="AF13" s="18"/>
      <c r="AG13" s="18"/>
      <c r="AH13" s="18"/>
      <c r="AI13" s="18"/>
    </row>
    <row r="14" spans="1:35" s="17" customFormat="1" ht="99" x14ac:dyDescent="0.25">
      <c r="A14" s="159"/>
      <c r="B14" s="171"/>
      <c r="C14" s="171"/>
      <c r="D14" s="171"/>
      <c r="E14" s="174"/>
      <c r="F14" s="174"/>
      <c r="G14" s="159"/>
      <c r="H14" s="159"/>
      <c r="I14" s="23"/>
      <c r="J14" s="176"/>
      <c r="K14" s="213"/>
      <c r="L14" s="159"/>
      <c r="M14" s="159"/>
      <c r="N14" s="23"/>
      <c r="O14" s="184"/>
      <c r="P14" s="159"/>
      <c r="Q14" s="22" t="s">
        <v>227</v>
      </c>
      <c r="R14" s="24" t="s">
        <v>224</v>
      </c>
      <c r="S14" s="20">
        <v>43466</v>
      </c>
      <c r="T14" s="20">
        <v>43830</v>
      </c>
      <c r="U14" s="19" t="s">
        <v>225</v>
      </c>
      <c r="V14" s="66" t="s">
        <v>556</v>
      </c>
      <c r="W14" s="66" t="s">
        <v>557</v>
      </c>
      <c r="X14" s="112" t="s">
        <v>485</v>
      </c>
      <c r="Y14" s="112" t="s">
        <v>468</v>
      </c>
      <c r="Z14" s="18" t="s">
        <v>473</v>
      </c>
      <c r="AA14" s="18" t="s">
        <v>473</v>
      </c>
      <c r="AB14" s="18"/>
      <c r="AC14" s="18"/>
      <c r="AD14" s="18"/>
      <c r="AE14" s="18"/>
      <c r="AF14" s="18"/>
      <c r="AG14" s="18"/>
      <c r="AH14" s="18"/>
      <c r="AI14" s="18"/>
    </row>
    <row r="15" spans="1:35" s="17" customFormat="1" ht="66" x14ac:dyDescent="0.25">
      <c r="A15" s="157">
        <v>2</v>
      </c>
      <c r="B15" s="169" t="str">
        <f>+[8]Identificacion!B5</f>
        <v>GESTIÓN FINANCIERA</v>
      </c>
      <c r="C15" s="169" t="str">
        <f>+[8]Identificacion!C5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69" t="str">
        <f>+[8]Identificacion!D5</f>
        <v xml:space="preserve">1. La documentación correspondiente se encuentra en diferentes archivos, lo cual no permite tener la trazabilidad completa de cada solicitud y no se cuenta con el acceso a toda la información.  
</v>
      </c>
      <c r="E15" s="172" t="str">
        <f>+[8]Identificacion!E5</f>
        <v>Atender las devoluciones sin el lleno de los requisitos establecidos en la Resolución No. 313 de 2018  o las normas que la sustituyan modifique o adicionen.</v>
      </c>
      <c r="F15" s="172" t="str">
        <f>+[8]Identificacion!F5</f>
        <v>1. Sanción disciplinaria al servidor público a cargo del trámite.</v>
      </c>
      <c r="G15" s="157">
        <f>+[8]Probabilidad!E15</f>
        <v>2</v>
      </c>
      <c r="H15" s="157">
        <f>+'[8]Impacto '!D7</f>
        <v>2</v>
      </c>
      <c r="I15" s="23">
        <f t="shared" si="0"/>
        <v>4</v>
      </c>
      <c r="J15" s="183" t="str">
        <f>IF(AND(I15&gt;=0,I15&lt;=4),'[8]Calificación de Riesgos'!$H$10,IF(I15&lt;7,'[8]Calificación de Riesgos'!$H$9,IF(I15&lt;12,'[8]Calificación de Riesgos'!$H$8,IF(I15&lt;=25,'[8]Calificación de Riesgos'!$H$7))))</f>
        <v>BAJA</v>
      </c>
      <c r="K15" s="211" t="s">
        <v>228</v>
      </c>
      <c r="L15" s="157">
        <v>1</v>
      </c>
      <c r="M15" s="157">
        <v>1</v>
      </c>
      <c r="N15" s="23">
        <f t="shared" ref="N15:N17" si="1">+L15*M15</f>
        <v>1</v>
      </c>
      <c r="O15" s="183" t="str">
        <f>IF(AND(N15&gt;=0,N15&lt;=4),'[8]Calificación de Riesgos'!$H$10,IF(N15&lt;7,'[8]Calificación de Riesgos'!$H$9,IF(N15&lt;13,'[8]Calificación de Riesgos'!$H$8,IF(N15&lt;=25,'[8]Calificación de Riesgos'!$H$7))))</f>
        <v>BAJA</v>
      </c>
      <c r="P15" s="157" t="s">
        <v>7</v>
      </c>
      <c r="Q15" s="22" t="s">
        <v>229</v>
      </c>
      <c r="R15" s="21" t="s">
        <v>230</v>
      </c>
      <c r="S15" s="20">
        <v>43466</v>
      </c>
      <c r="T15" s="20">
        <v>43830</v>
      </c>
      <c r="U15" s="19" t="s">
        <v>231</v>
      </c>
      <c r="V15" s="214" t="s">
        <v>558</v>
      </c>
      <c r="W15" s="214" t="s">
        <v>559</v>
      </c>
      <c r="X15" s="157" t="s">
        <v>485</v>
      </c>
      <c r="Y15" s="157" t="s">
        <v>468</v>
      </c>
      <c r="Z15" s="18" t="s">
        <v>473</v>
      </c>
      <c r="AA15" s="18" t="s">
        <v>473</v>
      </c>
      <c r="AB15" s="18"/>
      <c r="AC15" s="18"/>
      <c r="AD15" s="18"/>
      <c r="AE15" s="18"/>
      <c r="AF15" s="18"/>
      <c r="AG15" s="18"/>
      <c r="AH15" s="18"/>
      <c r="AI15" s="18"/>
    </row>
    <row r="16" spans="1:35" s="17" customFormat="1" ht="66" x14ac:dyDescent="0.25">
      <c r="A16" s="159"/>
      <c r="B16" s="171"/>
      <c r="C16" s="171"/>
      <c r="D16" s="171"/>
      <c r="E16" s="174"/>
      <c r="F16" s="174"/>
      <c r="G16" s="159"/>
      <c r="H16" s="159"/>
      <c r="I16" s="23"/>
      <c r="J16" s="184"/>
      <c r="K16" s="213"/>
      <c r="L16" s="159"/>
      <c r="M16" s="159"/>
      <c r="N16" s="23"/>
      <c r="O16" s="184"/>
      <c r="P16" s="159"/>
      <c r="Q16" s="22" t="s">
        <v>232</v>
      </c>
      <c r="R16" s="21" t="s">
        <v>230</v>
      </c>
      <c r="S16" s="20">
        <v>43466</v>
      </c>
      <c r="T16" s="20">
        <v>43830</v>
      </c>
      <c r="U16" s="19" t="s">
        <v>231</v>
      </c>
      <c r="V16" s="215"/>
      <c r="W16" s="215"/>
      <c r="X16" s="159"/>
      <c r="Y16" s="159"/>
      <c r="Z16" s="18" t="s">
        <v>473</v>
      </c>
      <c r="AA16" s="18" t="s">
        <v>473</v>
      </c>
      <c r="AB16" s="18"/>
      <c r="AC16" s="18"/>
      <c r="AD16" s="18"/>
      <c r="AE16" s="18"/>
      <c r="AF16" s="18"/>
      <c r="AG16" s="18"/>
      <c r="AH16" s="18"/>
      <c r="AI16" s="18"/>
    </row>
    <row r="17" spans="1:35" s="17" customFormat="1" ht="132" x14ac:dyDescent="0.25">
      <c r="A17" s="23">
        <v>3</v>
      </c>
      <c r="B17" s="22" t="str">
        <f>+[8]Identificacion!B6</f>
        <v>GESTIÓN FINANCIERA</v>
      </c>
      <c r="C17" s="22" t="str">
        <f>+[8]Identificacion!C6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2" t="str">
        <f>+[8]Identificacion!D6</f>
        <v>1. Inadecuada revisión de los soportes presentados para el trámite de las cuentas.
2. Restricción de acceso a los archivos de contratación, a la plataforma SECOP II, incide en la generación del pago.</v>
      </c>
      <c r="E17" s="18" t="str">
        <f>+[8]Identificacion!E6</f>
        <v>Ordenar o efectuar pagos sin el lleno de los requisitos legales.</v>
      </c>
      <c r="F17" s="18" t="str">
        <f>+[8]Identificacion!F6</f>
        <v>1. Demoras en el trámite de pagos, investigaciones fiscales y disciplinarias.</v>
      </c>
      <c r="G17" s="23">
        <f>+[8]Probabilidad!E16</f>
        <v>2</v>
      </c>
      <c r="H17" s="23">
        <f>+'[8]Impacto '!D8</f>
        <v>3</v>
      </c>
      <c r="I17" s="23">
        <f t="shared" si="0"/>
        <v>6</v>
      </c>
      <c r="J17" s="87" t="str">
        <f>IF(AND(I17&gt;=0,I17&lt;=4),'[8]Calificación de Riesgos'!$H$10,IF(I17&lt;7,'[8]Calificación de Riesgos'!$H$9,IF(I17&lt;13,'[8]Calificación de Riesgos'!$H$8,IF(I17&lt;=25,'[8]Calificación de Riesgos'!$H$7))))</f>
        <v>MODERADA</v>
      </c>
      <c r="K17" s="66" t="s">
        <v>233</v>
      </c>
      <c r="L17" s="23">
        <v>1</v>
      </c>
      <c r="M17" s="23">
        <v>1</v>
      </c>
      <c r="N17" s="23">
        <f t="shared" si="1"/>
        <v>1</v>
      </c>
      <c r="O17" s="89" t="str">
        <f>IF(AND(N17&gt;=0,N17&lt;=4),'[8]Calificación de Riesgos'!$H$10,IF(N17&lt;7,'[8]Calificación de Riesgos'!$H$9,IF(N17&lt;13,'[8]Calificación de Riesgos'!$H$8,IF(N17&lt;=25,'[8]Calificación de Riesgos'!$H$7))))</f>
        <v>BAJA</v>
      </c>
      <c r="P17" s="23" t="s">
        <v>7</v>
      </c>
      <c r="Q17" s="24" t="s">
        <v>234</v>
      </c>
      <c r="R17" s="21" t="s">
        <v>235</v>
      </c>
      <c r="S17" s="20">
        <v>43466</v>
      </c>
      <c r="T17" s="20">
        <v>43830</v>
      </c>
      <c r="U17" s="19" t="s">
        <v>225</v>
      </c>
      <c r="V17" s="66" t="s">
        <v>560</v>
      </c>
      <c r="W17" s="66" t="s">
        <v>560</v>
      </c>
      <c r="X17" s="112" t="s">
        <v>561</v>
      </c>
      <c r="Y17" s="112" t="s">
        <v>468</v>
      </c>
      <c r="Z17" s="18" t="s">
        <v>473</v>
      </c>
      <c r="AA17" s="18" t="s">
        <v>473</v>
      </c>
      <c r="AB17" s="18"/>
      <c r="AC17" s="18"/>
      <c r="AD17" s="18"/>
      <c r="AE17" s="18"/>
      <c r="AF17" s="18"/>
      <c r="AG17" s="18"/>
      <c r="AH17" s="18"/>
      <c r="AI17" s="18"/>
    </row>
  </sheetData>
  <mergeCells count="44">
    <mergeCell ref="V15:V16"/>
    <mergeCell ref="W15:W16"/>
    <mergeCell ref="X15:X16"/>
    <mergeCell ref="Y15:Y16"/>
    <mergeCell ref="A4:AA8"/>
    <mergeCell ref="F15:F16"/>
    <mergeCell ref="G15:G16"/>
    <mergeCell ref="H15:H16"/>
    <mergeCell ref="G12:G14"/>
    <mergeCell ref="H12:H14"/>
    <mergeCell ref="F12:F14"/>
    <mergeCell ref="A15:A16"/>
    <mergeCell ref="B15:B16"/>
    <mergeCell ref="C15:C16"/>
    <mergeCell ref="D15:D16"/>
    <mergeCell ref="E15:E16"/>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M12:M14"/>
    <mergeCell ref="B1:V2"/>
    <mergeCell ref="B3:V3"/>
    <mergeCell ref="A9:F10"/>
    <mergeCell ref="G9:J9"/>
    <mergeCell ref="L9:P9"/>
    <mergeCell ref="Q9:U10"/>
    <mergeCell ref="V9:AA10"/>
    <mergeCell ref="A12:A14"/>
    <mergeCell ref="B12:B14"/>
    <mergeCell ref="C12:C14"/>
    <mergeCell ref="D12:D14"/>
    <mergeCell ref="E12:E14"/>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E9B3B3C-5403-4853-8BDE-6725F8E8B8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877133B6-2788-4006-A4D8-5DC87E769A4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16"/>
  <sheetViews>
    <sheetView zoomScale="82" zoomScaleNormal="82" workbookViewId="0">
      <selection sqref="A1:AA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7109375" style="14" customWidth="1"/>
    <col min="12" max="12" width="14.140625" style="14" customWidth="1"/>
    <col min="13" max="13" width="10.42578125" style="14" customWidth="1"/>
    <col min="14" max="14" width="13.5703125" style="14" hidden="1" customWidth="1"/>
    <col min="15" max="15" width="11.42578125" style="14"/>
    <col min="16" max="16" width="14"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28.5703125" style="14" customWidth="1"/>
    <col min="23" max="23" width="41.28515625" style="14" customWidth="1"/>
    <col min="24" max="16384" width="11.42578125" style="14"/>
  </cols>
  <sheetData>
    <row r="1" spans="1:27" ht="16.5" customHeight="1" x14ac:dyDescent="0.3">
      <c r="A1" s="177" t="s">
        <v>254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27" ht="16.5" customHeight="1" x14ac:dyDescent="0.3">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27" ht="13.5" customHeight="1" x14ac:dyDescent="0.3">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ht="13.5" customHeight="1" x14ac:dyDescent="0.3">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7" ht="13.5" customHeight="1"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27" s="25" customFormat="1" ht="45" customHeight="1" x14ac:dyDescent="0.3">
      <c r="A6" s="156" t="s">
        <v>59</v>
      </c>
      <c r="B6" s="156"/>
      <c r="C6" s="156"/>
      <c r="D6" s="156"/>
      <c r="E6" s="156"/>
      <c r="F6" s="156"/>
      <c r="G6" s="155" t="s">
        <v>58</v>
      </c>
      <c r="H6" s="155"/>
      <c r="I6" s="155"/>
      <c r="J6" s="155"/>
      <c r="K6" s="26" t="s">
        <v>57</v>
      </c>
      <c r="L6" s="156" t="s">
        <v>56</v>
      </c>
      <c r="M6" s="156"/>
      <c r="N6" s="156"/>
      <c r="O6" s="156"/>
      <c r="P6" s="156"/>
      <c r="Q6" s="156" t="s">
        <v>55</v>
      </c>
      <c r="R6" s="156"/>
      <c r="S6" s="156"/>
      <c r="T6" s="156"/>
      <c r="U6" s="156"/>
      <c r="V6" s="156" t="s">
        <v>54</v>
      </c>
      <c r="W6" s="156"/>
      <c r="X6" s="156"/>
      <c r="Y6" s="156"/>
      <c r="Z6" s="156"/>
      <c r="AA6" s="156"/>
    </row>
    <row r="7" spans="1:27" s="25" customFormat="1" ht="84" customHeight="1" x14ac:dyDescent="0.3">
      <c r="A7" s="156"/>
      <c r="B7" s="156"/>
      <c r="C7" s="156"/>
      <c r="D7" s="156"/>
      <c r="E7" s="156"/>
      <c r="F7" s="156"/>
      <c r="G7" s="155" t="s">
        <v>52</v>
      </c>
      <c r="H7" s="155"/>
      <c r="I7" s="155"/>
      <c r="J7" s="155"/>
      <c r="K7" s="26" t="s">
        <v>51</v>
      </c>
      <c r="L7" s="155" t="s">
        <v>50</v>
      </c>
      <c r="M7" s="155"/>
      <c r="N7" s="28"/>
      <c r="O7" s="155" t="s">
        <v>49</v>
      </c>
      <c r="P7" s="155"/>
      <c r="Q7" s="156"/>
      <c r="R7" s="156"/>
      <c r="S7" s="156"/>
      <c r="T7" s="156"/>
      <c r="U7" s="156"/>
      <c r="V7" s="156"/>
      <c r="W7" s="156"/>
      <c r="X7" s="156"/>
      <c r="Y7" s="156"/>
      <c r="Z7" s="156"/>
      <c r="AA7" s="156"/>
    </row>
    <row r="8" spans="1:27" s="25" customFormat="1" ht="66" customHeight="1" x14ac:dyDescent="0.3">
      <c r="A8" s="26" t="s">
        <v>48</v>
      </c>
      <c r="B8" s="26" t="s">
        <v>47</v>
      </c>
      <c r="C8" s="26" t="s">
        <v>46</v>
      </c>
      <c r="D8" s="26" t="s">
        <v>45</v>
      </c>
      <c r="E8" s="26" t="s">
        <v>44</v>
      </c>
      <c r="F8" s="26" t="s">
        <v>43</v>
      </c>
      <c r="G8" s="26" t="s">
        <v>39</v>
      </c>
      <c r="H8" s="26" t="s">
        <v>38</v>
      </c>
      <c r="I8" s="26" t="s">
        <v>42</v>
      </c>
      <c r="J8" s="26" t="s">
        <v>41</v>
      </c>
      <c r="K8" s="26" t="s">
        <v>40</v>
      </c>
      <c r="L8" s="26" t="s">
        <v>39</v>
      </c>
      <c r="M8" s="26" t="s">
        <v>38</v>
      </c>
      <c r="N8" s="26" t="s">
        <v>37</v>
      </c>
      <c r="O8" s="26" t="s">
        <v>36</v>
      </c>
      <c r="P8" s="26" t="s">
        <v>35</v>
      </c>
      <c r="Q8" s="26" t="s">
        <v>34</v>
      </c>
      <c r="R8" s="26" t="s">
        <v>33</v>
      </c>
      <c r="S8" s="26" t="s">
        <v>32</v>
      </c>
      <c r="T8" s="26" t="s">
        <v>31</v>
      </c>
      <c r="U8" s="26" t="s">
        <v>30</v>
      </c>
      <c r="V8" s="26" t="s">
        <v>29</v>
      </c>
      <c r="W8" s="26" t="s">
        <v>28</v>
      </c>
      <c r="X8" s="26" t="s">
        <v>27</v>
      </c>
      <c r="Y8" s="26" t="s">
        <v>23</v>
      </c>
      <c r="Z8" s="26" t="s">
        <v>22</v>
      </c>
      <c r="AA8" s="26" t="s">
        <v>21</v>
      </c>
    </row>
    <row r="9" spans="1:27" s="17" customFormat="1" ht="132" x14ac:dyDescent="0.25">
      <c r="A9" s="157">
        <v>1</v>
      </c>
      <c r="B9" s="169" t="str">
        <f>+[9]Identificacion!B4</f>
        <v>ADMINISTRACIÓN DE BIENES Y SERVICIOS</v>
      </c>
      <c r="C9" s="169" t="str">
        <f>+[9]Identificacion!C4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69" t="str">
        <f>+[9]Identificacion!D4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72" t="str">
        <f>+[9]Identificacion!E4</f>
        <v>Perdida de bienes de la ANM</v>
      </c>
      <c r="F9" s="172" t="str">
        <f>+[9]Identificacion!F4</f>
        <v>1. Denuncia a las autoridades del hecho.
2. Alteración temporal del inventario
3. No disponibilidad de los elementos para adelantar la gestión de la Entidad.
4. Aumento de la siniestralidad en la pólizas</v>
      </c>
      <c r="G9" s="157">
        <f>+[9]Probabilidad!E14</f>
        <v>4</v>
      </c>
      <c r="H9" s="157">
        <f>+'[9]Impacto '!D6</f>
        <v>2</v>
      </c>
      <c r="I9" s="23">
        <f t="shared" ref="I9:I15" si="0">+G9*H9</f>
        <v>8</v>
      </c>
      <c r="J9" s="175" t="str">
        <f>IF(AND(I9&gt;=0,I9&lt;=4),'[9]Calificación de Riesgos'!$H$10,IF(I9&lt;7,'[9]Calificación de Riesgos'!$H$9,IF(I9&lt;13,'[9]Calificación de Riesgos'!$H$8,IF(I9&lt;=25,'[9]Calificación de Riesgos'!$H$7))))</f>
        <v>ALTA</v>
      </c>
      <c r="K9" s="211" t="s">
        <v>237</v>
      </c>
      <c r="L9" s="157">
        <v>3</v>
      </c>
      <c r="M9" s="157">
        <v>1</v>
      </c>
      <c r="N9" s="23">
        <f>+L9*M9</f>
        <v>3</v>
      </c>
      <c r="O9" s="183" t="str">
        <f>IF(AND(N9&gt;=0,N9&lt;=4),'[9]Calificación de Riesgos'!$H$10,IF(N9&lt;7,'[9]Calificación de Riesgos'!$H$9,IF(N9&lt;13,'[9]Calificación de Riesgos'!$H$8,IF(N9&lt;=25,'[9]Calificación de Riesgos'!$H$7))))</f>
        <v>BAJA</v>
      </c>
      <c r="P9" s="157" t="s">
        <v>7</v>
      </c>
      <c r="Q9" s="90" t="s">
        <v>238</v>
      </c>
      <c r="R9" s="91" t="s">
        <v>239</v>
      </c>
      <c r="S9" s="20">
        <v>43528</v>
      </c>
      <c r="T9" s="20">
        <v>43814</v>
      </c>
      <c r="U9" s="19" t="s">
        <v>240</v>
      </c>
      <c r="V9" s="18" t="s">
        <v>562</v>
      </c>
      <c r="W9" s="18" t="s">
        <v>563</v>
      </c>
      <c r="X9" s="18" t="s">
        <v>564</v>
      </c>
      <c r="Y9" s="18" t="s">
        <v>468</v>
      </c>
      <c r="Z9" s="18" t="s">
        <v>476</v>
      </c>
      <c r="AA9" s="18" t="s">
        <v>476</v>
      </c>
    </row>
    <row r="10" spans="1:27" s="17" customFormat="1" ht="214.5" x14ac:dyDescent="0.25">
      <c r="A10" s="158"/>
      <c r="B10" s="170"/>
      <c r="C10" s="170"/>
      <c r="D10" s="170"/>
      <c r="E10" s="173"/>
      <c r="F10" s="173"/>
      <c r="G10" s="158"/>
      <c r="H10" s="158"/>
      <c r="I10" s="23"/>
      <c r="J10" s="198"/>
      <c r="K10" s="212"/>
      <c r="L10" s="158"/>
      <c r="M10" s="158"/>
      <c r="N10" s="23"/>
      <c r="O10" s="197"/>
      <c r="P10" s="158"/>
      <c r="Q10" s="90" t="s">
        <v>241</v>
      </c>
      <c r="R10" s="91" t="s">
        <v>239</v>
      </c>
      <c r="S10" s="20">
        <v>43528</v>
      </c>
      <c r="T10" s="20">
        <v>43814</v>
      </c>
      <c r="U10" s="19" t="s">
        <v>240</v>
      </c>
      <c r="V10" s="18" t="s">
        <v>565</v>
      </c>
      <c r="W10" s="18" t="s">
        <v>563</v>
      </c>
      <c r="X10" s="18" t="s">
        <v>564</v>
      </c>
      <c r="Y10" s="18" t="s">
        <v>468</v>
      </c>
      <c r="Z10" s="18" t="s">
        <v>476</v>
      </c>
      <c r="AA10" s="18" t="s">
        <v>476</v>
      </c>
    </row>
    <row r="11" spans="1:27" s="17" customFormat="1" ht="99" x14ac:dyDescent="0.25">
      <c r="A11" s="159"/>
      <c r="B11" s="171"/>
      <c r="C11" s="171"/>
      <c r="D11" s="171"/>
      <c r="E11" s="174"/>
      <c r="F11" s="174"/>
      <c r="G11" s="159"/>
      <c r="H11" s="159"/>
      <c r="I11" s="23"/>
      <c r="J11" s="176"/>
      <c r="K11" s="213"/>
      <c r="L11" s="159"/>
      <c r="M11" s="159"/>
      <c r="N11" s="23"/>
      <c r="O11" s="184"/>
      <c r="P11" s="159"/>
      <c r="Q11" s="90" t="s">
        <v>242</v>
      </c>
      <c r="R11" s="91" t="s">
        <v>239</v>
      </c>
      <c r="S11" s="20">
        <v>43528</v>
      </c>
      <c r="T11" s="20">
        <v>43814</v>
      </c>
      <c r="U11" s="19" t="s">
        <v>240</v>
      </c>
      <c r="V11" s="18" t="s">
        <v>566</v>
      </c>
      <c r="W11" s="18" t="s">
        <v>567</v>
      </c>
      <c r="X11" s="18" t="s">
        <v>564</v>
      </c>
      <c r="Y11" s="18" t="s">
        <v>468</v>
      </c>
      <c r="Z11" s="18" t="s">
        <v>476</v>
      </c>
      <c r="AA11" s="18" t="s">
        <v>476</v>
      </c>
    </row>
    <row r="12" spans="1:27" s="17" customFormat="1" ht="148.5" x14ac:dyDescent="0.25">
      <c r="A12" s="157">
        <v>2</v>
      </c>
      <c r="B12" s="169" t="str">
        <f>+[9]Identificacion!B5</f>
        <v>ADMINISTRACIÓN DE BIENES Y SERVICIOS</v>
      </c>
      <c r="C12" s="169" t="str">
        <f>+[9]Identificacion!C5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69" t="str">
        <f>+[9]Identificacion!D5</f>
        <v>1. Falta de oferta de bienes inmuebles en la zona con las condiciones requeridas para el funcionamiento de la ESSM.
2. Dificultades propias de la región que impidan reunir las condiciones para cumplir las actividades previstas.</v>
      </c>
      <c r="E12" s="172" t="str">
        <f>+[9]Identificacion!E5</f>
        <v xml:space="preserve">Incumplimiento de las actividades planificadas para garantizar la prestación del servicio en la Sede de Amagá.
</v>
      </c>
      <c r="F12" s="172" t="str">
        <f>+[9]Identificacion!F5</f>
        <v xml:space="preserve">
1. No prestación del servicio en la sede de Amaga.</v>
      </c>
      <c r="G12" s="157">
        <f>+[9]Probabilidad!E15</f>
        <v>2</v>
      </c>
      <c r="H12" s="157">
        <f>+'[9]Impacto '!D7</f>
        <v>4</v>
      </c>
      <c r="I12" s="23">
        <f t="shared" si="0"/>
        <v>8</v>
      </c>
      <c r="J12" s="175" t="str">
        <f>IF(AND(I12&gt;=0,I12&lt;=4),'[9]Calificación de Riesgos'!$H$10,IF(I12&lt;7,'[9]Calificación de Riesgos'!$H$9,IF(I12&lt;13,'[9]Calificación de Riesgos'!$H$8,IF(I12&lt;=25,'[9]Calificación de Riesgos'!$H$7))))</f>
        <v>ALTA</v>
      </c>
      <c r="K12" s="211" t="s">
        <v>243</v>
      </c>
      <c r="L12" s="157">
        <v>1</v>
      </c>
      <c r="M12" s="157">
        <v>3</v>
      </c>
      <c r="N12" s="23">
        <f t="shared" ref="N12:N15" si="1">+L12*M12</f>
        <v>3</v>
      </c>
      <c r="O12" s="183" t="str">
        <f>IF(AND(N12&gt;=0,N12&lt;=4),'[9]Calificación de Riesgos'!$H$10,IF(N12&lt;7,'[9]Calificación de Riesgos'!$H$9,IF(N12&lt;13,'[9]Calificación de Riesgos'!$H$8,IF(N12&lt;=25,'[9]Calificación de Riesgos'!$H$7))))</f>
        <v>BAJA</v>
      </c>
      <c r="P12" s="157" t="s">
        <v>7</v>
      </c>
      <c r="Q12" s="67" t="s">
        <v>244</v>
      </c>
      <c r="R12" s="92" t="s">
        <v>245</v>
      </c>
      <c r="S12" s="20">
        <v>43495</v>
      </c>
      <c r="T12" s="20">
        <v>43677</v>
      </c>
      <c r="U12" s="19" t="s">
        <v>240</v>
      </c>
      <c r="V12" s="18" t="s">
        <v>568</v>
      </c>
      <c r="W12" s="18" t="s">
        <v>569</v>
      </c>
      <c r="X12" s="18" t="s">
        <v>564</v>
      </c>
      <c r="Y12" s="18" t="s">
        <v>468</v>
      </c>
      <c r="Z12" s="18" t="s">
        <v>476</v>
      </c>
      <c r="AA12" s="18" t="s">
        <v>476</v>
      </c>
    </row>
    <row r="13" spans="1:27" s="17" customFormat="1" ht="148.5" x14ac:dyDescent="0.25">
      <c r="A13" s="158"/>
      <c r="B13" s="170"/>
      <c r="C13" s="170"/>
      <c r="D13" s="170"/>
      <c r="E13" s="173"/>
      <c r="F13" s="173"/>
      <c r="G13" s="158"/>
      <c r="H13" s="158"/>
      <c r="I13" s="23"/>
      <c r="J13" s="198"/>
      <c r="K13" s="212"/>
      <c r="L13" s="158"/>
      <c r="M13" s="158"/>
      <c r="N13" s="23"/>
      <c r="O13" s="197"/>
      <c r="P13" s="158"/>
      <c r="Q13" s="67" t="s">
        <v>246</v>
      </c>
      <c r="R13" s="92" t="s">
        <v>247</v>
      </c>
      <c r="S13" s="20">
        <v>43495</v>
      </c>
      <c r="T13" s="20">
        <v>43677</v>
      </c>
      <c r="U13" s="19" t="s">
        <v>240</v>
      </c>
      <c r="V13" s="18" t="s">
        <v>568</v>
      </c>
      <c r="W13" s="18" t="s">
        <v>569</v>
      </c>
      <c r="X13" s="18" t="s">
        <v>564</v>
      </c>
      <c r="Y13" s="18" t="s">
        <v>468</v>
      </c>
      <c r="Z13" s="18" t="s">
        <v>476</v>
      </c>
      <c r="AA13" s="18" t="s">
        <v>476</v>
      </c>
    </row>
    <row r="14" spans="1:27" s="17" customFormat="1" ht="148.5" x14ac:dyDescent="0.25">
      <c r="A14" s="159"/>
      <c r="B14" s="171"/>
      <c r="C14" s="171"/>
      <c r="D14" s="171"/>
      <c r="E14" s="174"/>
      <c r="F14" s="174"/>
      <c r="G14" s="159"/>
      <c r="H14" s="159"/>
      <c r="I14" s="23"/>
      <c r="J14" s="176"/>
      <c r="K14" s="213"/>
      <c r="L14" s="159"/>
      <c r="M14" s="159"/>
      <c r="N14" s="23"/>
      <c r="O14" s="184"/>
      <c r="P14" s="159"/>
      <c r="Q14" s="67" t="s">
        <v>248</v>
      </c>
      <c r="R14" s="92" t="s">
        <v>247</v>
      </c>
      <c r="S14" s="20">
        <v>43495</v>
      </c>
      <c r="T14" s="20">
        <v>43677</v>
      </c>
      <c r="U14" s="19" t="s">
        <v>240</v>
      </c>
      <c r="V14" s="18" t="s">
        <v>568</v>
      </c>
      <c r="W14" s="18" t="s">
        <v>569</v>
      </c>
      <c r="X14" s="18" t="s">
        <v>564</v>
      </c>
      <c r="Y14" s="18" t="s">
        <v>468</v>
      </c>
      <c r="Z14" s="18" t="s">
        <v>476</v>
      </c>
      <c r="AA14" s="18" t="s">
        <v>476</v>
      </c>
    </row>
    <row r="15" spans="1:27" s="17" customFormat="1" ht="66" x14ac:dyDescent="0.25">
      <c r="A15" s="157">
        <v>3</v>
      </c>
      <c r="B15" s="169" t="str">
        <f>+[9]Identificacion!B6</f>
        <v>ADMINISTRACIÓN DE BIENES Y SERVICIOS</v>
      </c>
      <c r="C15" s="169" t="str">
        <f>+[9]Identificacion!C6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69" t="str">
        <f>+[9]Identificacion!D6</f>
        <v xml:space="preserve">1. Incumplimiento de los proveedores de las obligaciones legales en la facturación de bienes y servicios. 
2. Inconsistencias en la facturación lo que genera reprocesos.
</v>
      </c>
      <c r="E15" s="172" t="str">
        <f>+[9]Identificacion!E6</f>
        <v xml:space="preserve">Incumplimiento de PAC programado </v>
      </c>
      <c r="F15" s="172" t="str">
        <f>+[9]Identificacion!F6</f>
        <v xml:space="preserve">1. No pagos oportuno de la programación de PAC de bienes o servicios  recibidos. 
2. Incumplimiento en las metas de la programación de ejecución presupuestal. </v>
      </c>
      <c r="G15" s="157">
        <f>+[9]Probabilidad!E16</f>
        <v>3</v>
      </c>
      <c r="H15" s="157">
        <f>+'[9]Impacto '!D8</f>
        <v>3</v>
      </c>
      <c r="I15" s="23">
        <f t="shared" si="0"/>
        <v>9</v>
      </c>
      <c r="J15" s="175" t="str">
        <f>IF(AND(I15&gt;=0,I15&lt;=4),'[9]Calificación de Riesgos'!$H$10,IF(I15&lt;7,'[9]Calificación de Riesgos'!$H$9,IF(I15&lt;13,'[9]Calificación de Riesgos'!$H$8,IF(I15&lt;=25,'[9]Calificación de Riesgos'!$H$7))))</f>
        <v>ALTA</v>
      </c>
      <c r="K15" s="211" t="s">
        <v>249</v>
      </c>
      <c r="L15" s="157">
        <v>2</v>
      </c>
      <c r="M15" s="157">
        <v>2</v>
      </c>
      <c r="N15" s="23">
        <f t="shared" si="1"/>
        <v>4</v>
      </c>
      <c r="O15" s="183" t="str">
        <f>IF(AND(N15&gt;=0,N15&lt;=4),'[9]Calificación de Riesgos'!$H$10,IF(N15&lt;7,'[9]Calificación de Riesgos'!$H$9,IF(N15&lt;13,'[9]Calificación de Riesgos'!$H$8,IF(N15&lt;=25,'[9]Calificación de Riesgos'!$H$7))))</f>
        <v>BAJA</v>
      </c>
      <c r="P15" s="157" t="s">
        <v>7</v>
      </c>
      <c r="Q15" s="93" t="s">
        <v>250</v>
      </c>
      <c r="R15" s="92" t="s">
        <v>251</v>
      </c>
      <c r="S15" s="20">
        <v>43504</v>
      </c>
      <c r="T15" s="20">
        <v>43814</v>
      </c>
      <c r="U15" s="19" t="s">
        <v>240</v>
      </c>
      <c r="V15" s="18" t="s">
        <v>570</v>
      </c>
      <c r="W15" s="18" t="s">
        <v>571</v>
      </c>
      <c r="X15" s="18" t="s">
        <v>564</v>
      </c>
      <c r="Y15" s="18" t="s">
        <v>468</v>
      </c>
      <c r="Z15" s="18" t="s">
        <v>476</v>
      </c>
      <c r="AA15" s="18" t="s">
        <v>476</v>
      </c>
    </row>
    <row r="16" spans="1:27" s="17" customFormat="1" ht="66" x14ac:dyDescent="0.25">
      <c r="A16" s="159"/>
      <c r="B16" s="171"/>
      <c r="C16" s="171"/>
      <c r="D16" s="171"/>
      <c r="E16" s="174"/>
      <c r="F16" s="174"/>
      <c r="G16" s="159"/>
      <c r="H16" s="159"/>
      <c r="I16" s="23"/>
      <c r="J16" s="176"/>
      <c r="K16" s="213"/>
      <c r="L16" s="159"/>
      <c r="M16" s="159"/>
      <c r="N16" s="23"/>
      <c r="O16" s="184"/>
      <c r="P16" s="159"/>
      <c r="Q16" s="93" t="s">
        <v>252</v>
      </c>
      <c r="R16" s="92" t="s">
        <v>253</v>
      </c>
      <c r="S16" s="20">
        <v>43504</v>
      </c>
      <c r="T16" s="20">
        <v>43814</v>
      </c>
      <c r="U16" s="19" t="s">
        <v>240</v>
      </c>
      <c r="V16" s="18" t="s">
        <v>572</v>
      </c>
      <c r="W16" s="18" t="s">
        <v>571</v>
      </c>
      <c r="X16" s="18" t="s">
        <v>564</v>
      </c>
      <c r="Y16" s="18" t="s">
        <v>468</v>
      </c>
      <c r="Z16" s="18" t="s">
        <v>476</v>
      </c>
      <c r="AA16" s="18" t="s">
        <v>476</v>
      </c>
    </row>
  </sheetData>
  <mergeCells count="51">
    <mergeCell ref="A1:AA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K12:K14"/>
    <mergeCell ref="F12:F14"/>
    <mergeCell ref="G12:G14"/>
    <mergeCell ref="H12:H14"/>
    <mergeCell ref="G9:G11"/>
    <mergeCell ref="H9:H11"/>
    <mergeCell ref="F9:F11"/>
    <mergeCell ref="A6:F7"/>
    <mergeCell ref="G6:J6"/>
    <mergeCell ref="L6:P6"/>
    <mergeCell ref="J9:J11"/>
    <mergeCell ref="K9:K11"/>
    <mergeCell ref="L9:L11"/>
    <mergeCell ref="M9:M11"/>
    <mergeCell ref="A9:A11"/>
    <mergeCell ref="B9:B11"/>
    <mergeCell ref="C9:C11"/>
    <mergeCell ref="D9:D11"/>
    <mergeCell ref="E9:E11"/>
    <mergeCell ref="Q6:U7"/>
    <mergeCell ref="V6:AA7"/>
    <mergeCell ref="O9:O11"/>
    <mergeCell ref="G7:J7"/>
    <mergeCell ref="L7:M7"/>
    <mergeCell ref="O7:P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vt:lpstr>
      <vt:lpstr>Juridica</vt:lpstr>
      <vt:lpstr>Talento Humano</vt:lpstr>
      <vt:lpstr>Tecnologia</vt:lpstr>
      <vt:lpstr>Financiera</vt:lpstr>
      <vt:lpstr>Bienes y Ser</vt:lpstr>
      <vt:lpstr>Adquisicion</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2019-02-01T14:21:41Z</dcterms:created>
  <dcterms:modified xsi:type="dcterms:W3CDTF">2019-08-12T23:34:02Z</dcterms:modified>
</cp:coreProperties>
</file>