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94074369\Documents\Certificación Ekogui\"/>
    </mc:Choice>
  </mc:AlternateContent>
  <xr:revisionPtr revIDLastSave="0" documentId="8_{CF9C7104-6F74-4BE2-89E4-28196099ED7C}" xr6:coauthVersionLast="47" xr6:coauthVersionMax="47" xr10:uidLastSave="{00000000-0000-0000-0000-000000000000}"/>
  <bookViews>
    <workbookView xWindow="0" yWindow="0" windowWidth="20490" windowHeight="6405" tabRatio="777" firstSheet="1" activeTab="1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<sst xmlns="http://schemas.openxmlformats.org/spreadsheetml/2006/main" count="271" uniqueCount="193">
  <si>
    <t>Plantilla de certificado de Control Interno eKOGUI</t>
  </si>
  <si>
    <t>Agencia Nacional de Defensa Jurídica del Estado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</si>
  <si>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</si>
  <si>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USUARIOS ACTIVOS</t>
  </si>
  <si>
    <t>Si</t>
  </si>
  <si>
    <t>Favor Diligenciar los Campos Resaltados</t>
  </si>
  <si>
    <t>No</t>
  </si>
  <si>
    <t>Fecha de diligenciamiento de plantilla</t>
  </si>
  <si>
    <t>N/A</t>
  </si>
  <si>
    <t>Favor Diligenciar los campos Resaltados</t>
  </si>
  <si>
    <t>ROL</t>
  </si>
  <si>
    <t>TIENE EL ROL</t>
  </si>
  <si>
    <t>FECHA CREACIÓN  EN EKOGUI</t>
  </si>
  <si>
    <t>NOMBRE</t>
  </si>
  <si>
    <t>FECHA ÚLTIMA CAPACITACIÓN</t>
  </si>
  <si>
    <t>ACTUALIZADO</t>
  </si>
  <si>
    <t>JEFE FINANCIERO</t>
  </si>
  <si>
    <t>ALFREDO LOPEZ RODRIGUEZ</t>
  </si>
  <si>
    <t>JEFE JURÍDICO</t>
  </si>
  <si>
    <t>JUAN ANTONIO ARAUJO RMERO</t>
  </si>
  <si>
    <t>ENLACE DE PAGOS</t>
  </si>
  <si>
    <t>MARIA STELLA BECERRA FLECHAS</t>
  </si>
  <si>
    <t>JEFE CONTROL INTERNO</t>
  </si>
  <si>
    <t>ADRIANA ESTELLA GIRALDO RAMIREZ</t>
  </si>
  <si>
    <t>SECRETARIO TÉCNICO</t>
  </si>
  <si>
    <t>GEMA MARGARITA ROJAS LOZANO</t>
  </si>
  <si>
    <t>ADMINISTRADOR DE LA ENTIDAD</t>
  </si>
  <si>
    <t>Observaciones</t>
  </si>
  <si>
    <t>Una vez revisado el aplicativo eKOGUI, se observa que la entidad no cuenta con  Administrador del sistema a la fecha.</t>
  </si>
  <si>
    <t>Abogados al 31 de diciembre de 2021</t>
  </si>
  <si>
    <t>INFORMACIÓN (1)</t>
  </si>
  <si>
    <t>CANTIDAD DE ABOGADOS</t>
  </si>
  <si>
    <t>ABOGADOS ACTIVOS AL 31-12-2021</t>
  </si>
  <si>
    <t>CANTIDAD</t>
  </si>
  <si>
    <t>Tiene información estudios</t>
  </si>
  <si>
    <t>CANTIDAD DE ABOGADOS LITIGANDO</t>
  </si>
  <si>
    <t>Tienen información experiencia</t>
  </si>
  <si>
    <t>ABOGADOS CREADOS EN EKOGUI ACTIVOS</t>
  </si>
  <si>
    <t>Tienen Información laboral</t>
  </si>
  <si>
    <t>ABOGADOS CON CORREO ACTUALIZADO</t>
  </si>
  <si>
    <t>(1) Se visualiza en el detalle del abogado a la fecha de revisión</t>
  </si>
  <si>
    <t>Solamente se revisa que tenga registrada alguna información registrada</t>
  </si>
  <si>
    <t>ABOGADOS INACTIVOS</t>
  </si>
  <si>
    <t>ÚLTIMA CAPACITACIÓN ABOGADOS ACTIVOS</t>
  </si>
  <si>
    <t>RETIRADOS EN LA ENTIDAD SEGUNDO SEMESTRE 2021</t>
  </si>
  <si>
    <t>Posteriores al 01-01-2020</t>
  </si>
  <si>
    <t>INACTIVADOS EN EKOGUI SEGUNDO SEMESTRE 2021</t>
  </si>
  <si>
    <t>Entre 21-03-2019 y 31-12-2019</t>
  </si>
  <si>
    <t>Capacitaciones anteriores al 21-03-2019</t>
  </si>
  <si>
    <t>Sin capacitación</t>
  </si>
  <si>
    <t>Observaciones:</t>
  </si>
  <si>
    <t>No hubo retiros del sistema durante el segundo semestre</t>
  </si>
  <si>
    <t>Procesos Judiciales</t>
  </si>
  <si>
    <t>MAYORES A 33.000 SMMLV(4) ACTIVOS</t>
  </si>
  <si>
    <t xml:space="preserve">CANTIDAD </t>
  </si>
  <si>
    <t>Cantidad de procesos de más de 33.000 SMMLV</t>
  </si>
  <si>
    <t>PROCESOS ACTIVOS AL 31 DE DICIEMBRE DE 2021</t>
  </si>
  <si>
    <t>Procesos de más de 33.000 SMMLV registrados en eKOGUI</t>
  </si>
  <si>
    <t>CANTIDAD DE PROCESOS ACTIVOS</t>
  </si>
  <si>
    <t>Procesos de más de 33.000 SMMLV con la pieza demanda(5)</t>
  </si>
  <si>
    <t>PROCESOS ACTIVOS REGISTRADOS EN EKOGUI</t>
  </si>
  <si>
    <t>(4)Equivalente a un valor indexado de $29.981 millones a 31 de diciembre de 2021</t>
  </si>
  <si>
    <t>PROCESOS SIN ABOGADO ASIGNADO(1)</t>
  </si>
  <si>
    <t>(5) Puede ser remitida a la ANDJE o cargada en el sistema</t>
  </si>
  <si>
    <t>(1) Con fecha de registro anterior al 15-12-2021</t>
  </si>
  <si>
    <t>CALIFICACIÓN DE RIESGO</t>
  </si>
  <si>
    <t>PROCESOS TERMINADOS SEGUNDO SEMESTRE 2021</t>
  </si>
  <si>
    <t>PROCESOS ACTIVOS EN CALIDAD DEMANDADO AL 31-12-2021</t>
  </si>
  <si>
    <t>PROCESOS TERMINADOS DURANTE SEGUNDO SEMESTRE 2021</t>
  </si>
  <si>
    <t>PROCESOS CON CALIFICACIÓN SEGUNDO SEMESTRE 2021</t>
  </si>
  <si>
    <t>TERMINADOS EN EKOGUI DURANTE SEGUNDO SEMESTRE 2021 (2)</t>
  </si>
  <si>
    <t>PROCESOS CON CALIFICACIÓN ANTERIOR A 30-06-2021</t>
  </si>
  <si>
    <t>(2) Con fecha de actuación en 2021</t>
  </si>
  <si>
    <t>PROCESOS SIN CALIFICACIÓN</t>
  </si>
  <si>
    <t>ACTUALIZACIÓN</t>
  </si>
  <si>
    <t>PROVISIÓN CONTABLE (6)</t>
  </si>
  <si>
    <t># PROCESOS</t>
  </si>
  <si>
    <t>CON PROVISIÓN IGUAL A CERO</t>
  </si>
  <si>
    <t>PROCESO TERMINADOS AL 31 DE DICIEMBRE 2021</t>
  </si>
  <si>
    <t>PROBABILIDAD DE PERDER EL CASO ALTA</t>
  </si>
  <si>
    <t>PROCESOS ACTIVOS CON ESTADO TERMINADO(3)</t>
  </si>
  <si>
    <t>PROBABILIDAD DE PERDER EL CASO MEDIA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</si>
  <si>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</si>
  <si>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PROBABILIDAD DE PERDER EL CASO BAJA</t>
  </si>
  <si>
    <t>PROBABILIDAD DE PERDER EL CASO REMOTA</t>
  </si>
  <si>
    <t>(6) Solo se consideran los procesos activos - calidad demandado al 31 de DICIEMBRE de 2021 que tengan calificación de riesgo</t>
  </si>
  <si>
    <t>CONDENAS</t>
  </si>
  <si>
    <t>OBSERVACIONES</t>
  </si>
  <si>
    <t>PROCESOS ANALIZADOS</t>
  </si>
  <si>
    <t xml:space="preserve">No hubo condenas durante el segundo semestre </t>
  </si>
  <si>
    <t>PROCESOS TERMINADOS CON EJECUTORIA</t>
  </si>
  <si>
    <t>PROCESOS DESFAVORABLES</t>
  </si>
  <si>
    <t>PROCESOS QUE GENERAN EROGACIÓN ECONÓMICA</t>
  </si>
  <si>
    <t>PROCESOS CON VALOR CONDENA MAYOR A CERO</t>
  </si>
  <si>
    <t>Conciliaciones Prejudiciales</t>
  </si>
  <si>
    <t>PREJUDICIALES ACTIVAS AL 31-12-2021</t>
  </si>
  <si>
    <t>TOTAL PREJUDICIALES ACTIVOS</t>
  </si>
  <si>
    <t>TOTAL PREJUDICIALES ACTIVOS EN EKOGUI</t>
  </si>
  <si>
    <t>CANTIDAD PREJUDICIALES</t>
  </si>
  <si>
    <t>REGISTRO POSTERIOR AL 01/07/2021</t>
  </si>
  <si>
    <t>Procesos que efectivamente se encuentran activos</t>
  </si>
  <si>
    <t>REGISTRO ENTRE 1 DE ENERO Y 30 DE JUNIO 2021</t>
  </si>
  <si>
    <t>Procesos que se encuentran terminados</t>
  </si>
  <si>
    <t>REGISTRO EN 2020 Y ANTERIORES</t>
  </si>
  <si>
    <t>PREJUDICIALES TERMINADAS SEGUNDO SEMESTRE 2021</t>
  </si>
  <si>
    <t>TOTAL PREJUDICIALES TERMINADOS II SEM. 2021</t>
  </si>
  <si>
    <t>TERMINADOS ÚLTIMA ACTUACIÓN II SEM. 2021</t>
  </si>
  <si>
    <t>ARBITRAMENTOS</t>
  </si>
  <si>
    <t>ARBITRAMENTOS ACTIVOS AL 31-12-2021</t>
  </si>
  <si>
    <t>TOTAL ARBITRAMENTOS TERMINADOS  AL 31-12-2021</t>
  </si>
  <si>
    <t>ARBITRAMENTOS REGISTRADOS EN EKOGUI</t>
  </si>
  <si>
    <t>ARBITRAMENTOS TERMINADOS EN EKOGUI</t>
  </si>
  <si>
    <t xml:space="preserve">No se reportaron arbitramentos terminados durante </t>
  </si>
  <si>
    <t>Pagos</t>
  </si>
  <si>
    <t>PROCESOS ACTIVOS</t>
  </si>
  <si>
    <t>No se adelantaron pagos de sentencias durante el segundo semestre de 2021.</t>
  </si>
  <si>
    <t>Gestiona pagos en SIIF de MinHacienda</t>
  </si>
  <si>
    <t>Pagos enlazados al 31-12-2021</t>
  </si>
  <si>
    <t>Plantilla de certificado de Control Interno</t>
  </si>
  <si>
    <t>Favor Diligenciar los Campos Resaltados y Revisar la Información Incompleta Antes de Remitir a la ANDJE</t>
  </si>
  <si>
    <t>NOMBRE ENTIDAD</t>
  </si>
  <si>
    <t>AGENCIA NACIONAL DE MINERIA</t>
  </si>
  <si>
    <t>NOMBRE Y APELLIDO JEFE CONTROL INTERNO</t>
  </si>
  <si>
    <t>INFORMACIÓN USUARIOS</t>
  </si>
  <si>
    <t>PREJUDICIALES</t>
  </si>
  <si>
    <t>Completitud de roles</t>
  </si>
  <si>
    <t>Procesos prejudiciales</t>
  </si>
  <si>
    <t>Usuarios activos</t>
  </si>
  <si>
    <t>Porcentaje de registro</t>
  </si>
  <si>
    <t>Uso del sistema</t>
  </si>
  <si>
    <t>No Aplica</t>
  </si>
  <si>
    <t>Actualización prejudiciales</t>
  </si>
  <si>
    <t>Nivel de capacitación</t>
  </si>
  <si>
    <t>JUDICIALES</t>
  </si>
  <si>
    <t>Procesos arbitrales</t>
  </si>
  <si>
    <t>Procesos activos</t>
  </si>
  <si>
    <t>Actualización más de 33.000 SMMLV</t>
  </si>
  <si>
    <t>PAGOS</t>
  </si>
  <si>
    <t>Procesos por abogado</t>
  </si>
  <si>
    <t>Pagos relacionados</t>
  </si>
  <si>
    <t>Provisión incorrecta</t>
  </si>
  <si>
    <t>Uso del módulo pagos</t>
  </si>
  <si>
    <t>ENTIDAD</t>
  </si>
  <si>
    <t>NOMBRE JEFE CONTROL INTERNO</t>
  </si>
  <si>
    <t>ABOGADOS CON PROCESOS ACTIVOS</t>
  </si>
  <si>
    <t>RETIRADOS EN LA ENTIDAD PRIMER SEMESTRE 2020</t>
  </si>
  <si>
    <t>INACTIVADOS EN EKOGUI PRIMER SEMESTRE 2020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</si>
  <si>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</si>
  <si>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</si>
  <si>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</si>
  <si>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</si>
  <si>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</si>
  <si>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</si>
  <si>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</si>
  <si>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SIN ABOGADO ASIGNADO</t>
  </si>
  <si>
    <t>PROCESOS TERMINADOS PERIODO</t>
  </si>
  <si>
    <t>TERMINADOS PERIODO EN EKOGUI</t>
  </si>
  <si>
    <t>PROCESO ENTIDAD TERMINADOS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</si>
  <si>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</si>
  <si>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</si>
  <si>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</si>
  <si>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</si>
  <si>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PROCESOS ACTIVOS EN CALIDAD DEMANDADO</t>
  </si>
  <si>
    <t>PROCESOS CON CALIFICACIÓN  EN 2020</t>
  </si>
  <si>
    <t>PROCESOS CON CALIFICACIÓN ANTERIOR A 2020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</si>
  <si>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</si>
  <si>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</si>
  <si>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</si>
  <si>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</si>
  <si>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</si>
  <si>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</si>
  <si>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</si>
  <si>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</si>
  <si>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REGISTRO EN 2020</t>
  </si>
  <si>
    <t>REGISTRO EN 2019</t>
  </si>
  <si>
    <t>REGISTRO EN 2018 Y ANTERIORES</t>
  </si>
  <si>
    <t>TOTAL PROCESOS TERMINADOS</t>
  </si>
  <si>
    <t>TERMINADOS ÚLTIMA ACTUACIÓN EN 2020</t>
  </si>
  <si>
    <t>Proceso que se encuentran terminados</t>
  </si>
  <si>
    <t>ARBITRAMENTOS ACTIVOS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</si>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</sst>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6" fillId="7" borderId="9" xfId="0" applyNumberFormat="1" applyFont="1" applyFill="1" applyBorder="1" applyProtection="1">
      <protection locked="0"/>
    </xf>
    <xf numFmtId="0" fontId="16" fillId="7" borderId="9" xfId="0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H22" sqref="H22"/>
    </sheetView>
  </sheetViews>
  <sheetFormatPr defaultColWidth="11.42578125" defaultRowHeight="15"/>
  <sheetData>
    <row r="1" spans="2:15" ht="15.75" thickBot="1"/>
    <row r="2" spans="2: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>
      <c r="B3" s="78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>
      <c r="B4" s="78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>
      <c r="B5" s="5"/>
      <c r="O5" s="6"/>
    </row>
    <row r="6" spans="2:15">
      <c r="B6" s="5"/>
      <c r="C6" s="81" t="s">
        <v>2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>
      <c r="B8" s="5"/>
      <c r="O8" s="6"/>
    </row>
    <row r="9" spans="2:15">
      <c r="B9" s="5"/>
      <c r="O9" s="6"/>
    </row>
    <row r="10" spans="2:15">
      <c r="B10" s="5"/>
      <c r="O10" s="6"/>
    </row>
    <row r="11" spans="2:15">
      <c r="B11" s="5"/>
      <c r="O11" s="6"/>
    </row>
    <row r="12" spans="2:15">
      <c r="B12" s="5"/>
      <c r="O12" s="6"/>
    </row>
    <row r="13" spans="2:15">
      <c r="B13" s="5"/>
      <c r="O13" s="6"/>
    </row>
    <row r="14" spans="2:15">
      <c r="B14" s="5"/>
      <c r="O14" s="6"/>
    </row>
    <row r="15" spans="2:15">
      <c r="B15" s="5"/>
      <c r="O15" s="6"/>
    </row>
    <row r="16" spans="2:15">
      <c r="B16" s="5"/>
      <c r="O16" s="6"/>
    </row>
    <row r="17" spans="2:15">
      <c r="B17" s="5"/>
      <c r="O17" s="6"/>
    </row>
    <row r="18" spans="2:15" ht="15.75" thickBo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abSelected="1" zoomScale="89" zoomScaleNormal="89" workbookViewId="0">
      <selection activeCell="F12" sqref="F12"/>
    </sheetView>
  </sheetViews>
  <sheetFormatPr defaultColWidth="11.42578125" defaultRowHeight="1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/>
    <row r="6" spans="2:20">
      <c r="B6" s="10"/>
      <c r="C6" s="11"/>
      <c r="D6" s="11"/>
      <c r="E6" s="11"/>
      <c r="F6" s="11"/>
      <c r="G6" s="12"/>
    </row>
    <row r="7" spans="2:20" ht="21">
      <c r="B7" s="82" t="s">
        <v>3</v>
      </c>
      <c r="C7" s="83"/>
      <c r="D7" s="83"/>
      <c r="E7" s="83"/>
      <c r="F7" s="83"/>
      <c r="G7" s="84"/>
      <c r="T7" s="1" t="s">
        <v>4</v>
      </c>
    </row>
    <row r="8" spans="2:20" ht="15.75" thickBot="1">
      <c r="B8" s="13"/>
      <c r="D8" s="90" t="s">
        <v>5</v>
      </c>
      <c r="E8" s="90"/>
      <c r="G8" s="14"/>
      <c r="T8" s="1" t="s">
        <v>6</v>
      </c>
    </row>
    <row r="9" spans="2:20" ht="15.75" thickBot="1">
      <c r="B9" s="88" t="s">
        <v>7</v>
      </c>
      <c r="C9" s="89"/>
      <c r="D9" s="69">
        <v>44629</v>
      </c>
      <c r="G9" s="14"/>
      <c r="T9" s="1" t="s">
        <v>8</v>
      </c>
    </row>
    <row r="10" spans="2:20">
      <c r="B10" s="13" t="s">
        <v>9</v>
      </c>
      <c r="G10" s="58">
        <v>43545</v>
      </c>
    </row>
    <row r="11" spans="2:20">
      <c r="B11" s="20" t="s">
        <v>10</v>
      </c>
      <c r="C11" s="21" t="s">
        <v>11</v>
      </c>
      <c r="D11" s="22" t="s">
        <v>12</v>
      </c>
      <c r="E11" s="21" t="s">
        <v>13</v>
      </c>
      <c r="F11" s="21" t="s">
        <v>14</v>
      </c>
      <c r="G11" s="23" t="s">
        <v>15</v>
      </c>
    </row>
    <row r="12" spans="2:20">
      <c r="B12" s="19" t="s">
        <v>16</v>
      </c>
      <c r="C12" s="68" t="s">
        <v>4</v>
      </c>
      <c r="D12" s="76">
        <v>43717</v>
      </c>
      <c r="E12" s="77" t="s">
        <v>17</v>
      </c>
      <c r="F12" s="69"/>
      <c r="G12" s="70" t="str">
        <f>+IF(C12="SI",IF(F12&lt;$G$10,"DESACTUALIZADO",""),"")</f>
        <v>DESACTUALIZADO</v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>
      <c r="B13" s="19" t="s">
        <v>18</v>
      </c>
      <c r="C13" s="68" t="s">
        <v>4</v>
      </c>
      <c r="D13" s="76">
        <v>43717</v>
      </c>
      <c r="E13" s="77" t="s">
        <v>19</v>
      </c>
      <c r="F13" s="68"/>
      <c r="G13" s="70" t="str">
        <f t="shared" ref="G13:G17" si="3">+IF(C13="SI",IF(F13&lt;$G$10,"DESACTUALIZADO",""),"")</f>
        <v>DESACTUALIZADO</v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>
      <c r="B14" s="19" t="s">
        <v>20</v>
      </c>
      <c r="C14" s="68" t="s">
        <v>4</v>
      </c>
      <c r="D14" s="76">
        <v>43717</v>
      </c>
      <c r="E14" s="77" t="s">
        <v>21</v>
      </c>
      <c r="F14" s="68"/>
      <c r="G14" s="70" t="str">
        <f t="shared" si="3"/>
        <v>DESACTUALIZADO</v>
      </c>
      <c r="H14" s="36">
        <f t="shared" si="0"/>
        <v>0</v>
      </c>
      <c r="I14" s="36">
        <f t="shared" si="1"/>
        <v>1</v>
      </c>
      <c r="J14" s="36">
        <f t="shared" si="2"/>
        <v>0</v>
      </c>
      <c r="T14" s="41">
        <v>43545</v>
      </c>
    </row>
    <row r="15" spans="2:20">
      <c r="B15" s="19" t="s">
        <v>22</v>
      </c>
      <c r="C15" s="68" t="s">
        <v>4</v>
      </c>
      <c r="D15" s="76">
        <v>42198</v>
      </c>
      <c r="E15" s="77" t="s">
        <v>23</v>
      </c>
      <c r="F15" s="69">
        <v>44614</v>
      </c>
      <c r="G15" s="70" t="str">
        <f t="shared" si="3"/>
        <v/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>
      <c r="B16" s="19" t="s">
        <v>24</v>
      </c>
      <c r="C16" s="68" t="s">
        <v>4</v>
      </c>
      <c r="D16" s="76">
        <v>43381</v>
      </c>
      <c r="E16" s="77" t="s">
        <v>25</v>
      </c>
      <c r="F16" s="68"/>
      <c r="G16" s="70" t="str">
        <f t="shared" si="3"/>
        <v>DESACTUALIZADO</v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>
      <c r="B17" s="19" t="s">
        <v>26</v>
      </c>
      <c r="C17" s="68" t="s">
        <v>6</v>
      </c>
      <c r="D17" s="68"/>
      <c r="E17" s="68"/>
      <c r="F17" s="68"/>
      <c r="G17" s="70" t="str">
        <f t="shared" si="3"/>
        <v/>
      </c>
      <c r="H17" s="36">
        <f t="shared" si="0"/>
        <v>0</v>
      </c>
      <c r="I17" s="36">
        <f t="shared" si="1"/>
        <v>0</v>
      </c>
      <c r="J17" s="36">
        <f t="shared" si="2"/>
        <v>1</v>
      </c>
    </row>
    <row r="18" spans="2:10">
      <c r="B18" s="13"/>
      <c r="G18" s="14"/>
    </row>
    <row r="19" spans="2:10" ht="94.5" customHeight="1" thickBot="1">
      <c r="B19" s="53" t="s">
        <v>27</v>
      </c>
      <c r="C19" s="85" t="s">
        <v>28</v>
      </c>
      <c r="D19" s="86"/>
      <c r="E19" s="86"/>
      <c r="F19" s="86"/>
      <c r="G19" s="87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0" priority="12" operator="containsText" text="N/A">
      <formula>NOT(ISERROR(SEARCH("N/A",C12)))</formula>
    </cfRule>
    <cfRule type="containsBlanks" dxfId="39" priority="20">
      <formula>LEN(TRIM(C12))=0</formula>
    </cfRule>
  </conditionalFormatting>
  <conditionalFormatting sqref="D9">
    <cfRule type="containsBlanks" dxfId="38" priority="19">
      <formula>LEN(TRIM(D9))=0</formula>
    </cfRule>
  </conditionalFormatting>
  <conditionalFormatting sqref="D17:F17 F12:F16">
    <cfRule type="containsBlanks" dxfId="37" priority="14">
      <formula>LEN(TRIM(D12))=0</formula>
    </cfRule>
  </conditionalFormatting>
  <conditionalFormatting sqref="C19">
    <cfRule type="containsBlanks" dxfId="36" priority="13">
      <formula>LEN(TRIM(C19))=0</formula>
    </cfRule>
  </conditionalFormatting>
  <conditionalFormatting sqref="F12">
    <cfRule type="expression" dxfId="35" priority="8">
      <formula>OR($C$12="No",$C$12="N/A")</formula>
    </cfRule>
  </conditionalFormatting>
  <conditionalFormatting sqref="F14">
    <cfRule type="expression" dxfId="34" priority="7">
      <formula>OR($C$14="No",$C$14="N/A")</formula>
    </cfRule>
  </conditionalFormatting>
  <conditionalFormatting sqref="F13">
    <cfRule type="expression" dxfId="33" priority="5">
      <formula>OR($C$13="No",$C$13="N/A")</formula>
    </cfRule>
  </conditionalFormatting>
  <conditionalFormatting sqref="F15">
    <cfRule type="expression" dxfId="32" priority="3">
      <formula>OR($C$15="No",$C$15="N/A")</formula>
    </cfRule>
  </conditionalFormatting>
  <conditionalFormatting sqref="F16">
    <cfRule type="expression" dxfId="31" priority="2">
      <formula>OR($C$16="No",$C$16="N/A")</formula>
    </cfRule>
  </conditionalFormatting>
  <conditionalFormatting sqref="D17:F17">
    <cfRule type="expression" dxfId="30" priority="1">
      <formula>OR($C$17="No",$C$17="N/A")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C22" sqref="C22:G25"/>
    </sheetView>
  </sheetViews>
  <sheetFormatPr defaultColWidth="11.42578125" defaultRowHeight="1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</row>
    <row r="3" spans="2:22">
      <c r="B3" s="13"/>
      <c r="H3" s="14"/>
      <c r="V3" s="25">
        <f>+IF(D12&lt;=10,D12,IF(ROUNDDOWN(D12*10%,0)&lt;10,10,ROUNDDOWN(D12*10%,0)))</f>
        <v>10</v>
      </c>
    </row>
    <row r="4" spans="2:22">
      <c r="B4" s="13"/>
      <c r="H4" s="14"/>
    </row>
    <row r="5" spans="2:22">
      <c r="B5" s="13"/>
      <c r="D5" s="1" t="s">
        <v>5</v>
      </c>
      <c r="H5" s="14"/>
    </row>
    <row r="6" spans="2:22" ht="15" customHeight="1">
      <c r="B6" s="13"/>
      <c r="G6" s="26"/>
      <c r="H6" s="27"/>
    </row>
    <row r="7" spans="2:22" ht="17.25" customHeight="1">
      <c r="B7" s="13"/>
      <c r="C7" s="18" t="s">
        <v>7</v>
      </c>
      <c r="D7" s="69">
        <v>44629</v>
      </c>
      <c r="E7" s="24"/>
      <c r="F7" s="91" t="str">
        <f>"Seleccione una muestra de "&amp;V3&amp;" abogados activos y complete la siguiente tabla"</f>
        <v>Seleccione una muestra de 10 abogados activos y complete la siguiente tabla</v>
      </c>
      <c r="G7" s="92"/>
      <c r="H7" s="27"/>
    </row>
    <row r="8" spans="2:22">
      <c r="B8" s="13"/>
      <c r="F8" s="93"/>
      <c r="G8" s="94"/>
      <c r="H8" s="14"/>
      <c r="T8" s="1" t="s">
        <v>6</v>
      </c>
    </row>
    <row r="9" spans="2:22" ht="23.25">
      <c r="B9" s="13"/>
      <c r="C9" s="28" t="s">
        <v>29</v>
      </c>
      <c r="E9"/>
      <c r="F9" s="22" t="s">
        <v>30</v>
      </c>
      <c r="G9" s="22" t="s">
        <v>31</v>
      </c>
      <c r="H9" s="14"/>
      <c r="T9" s="1" t="s">
        <v>8</v>
      </c>
    </row>
    <row r="10" spans="2:22">
      <c r="B10" s="13"/>
      <c r="C10" s="21" t="s">
        <v>32</v>
      </c>
      <c r="D10" s="21" t="s">
        <v>33</v>
      </c>
      <c r="E10"/>
      <c r="F10" s="18" t="s">
        <v>34</v>
      </c>
      <c r="G10" s="68">
        <v>15</v>
      </c>
      <c r="H10" s="14"/>
    </row>
    <row r="11" spans="2:22">
      <c r="B11" s="13"/>
      <c r="C11" s="18" t="s">
        <v>35</v>
      </c>
      <c r="D11" s="68">
        <v>15</v>
      </c>
      <c r="E11"/>
      <c r="F11" s="18" t="s">
        <v>36</v>
      </c>
      <c r="G11" s="68">
        <v>15</v>
      </c>
      <c r="H11" s="14"/>
    </row>
    <row r="12" spans="2:22">
      <c r="B12" s="13"/>
      <c r="C12" s="18" t="s">
        <v>37</v>
      </c>
      <c r="D12" s="68">
        <v>15</v>
      </c>
      <c r="E12"/>
      <c r="F12" s="18" t="s">
        <v>38</v>
      </c>
      <c r="G12" s="68">
        <v>15</v>
      </c>
      <c r="H12" s="14"/>
    </row>
    <row r="13" spans="2:22">
      <c r="B13" s="13"/>
      <c r="C13" s="18" t="s">
        <v>39</v>
      </c>
      <c r="D13" s="68">
        <v>15</v>
      </c>
      <c r="E13"/>
      <c r="F13" s="44" t="s">
        <v>40</v>
      </c>
      <c r="G13" s="43"/>
      <c r="H13" s="14"/>
    </row>
    <row r="14" spans="2:22">
      <c r="B14" s="13"/>
      <c r="E14"/>
      <c r="F14" s="45" t="s">
        <v>41</v>
      </c>
      <c r="G14" s="46"/>
      <c r="H14" s="14"/>
    </row>
    <row r="15" spans="2:22">
      <c r="B15" s="13"/>
      <c r="E15"/>
      <c r="H15" s="14"/>
    </row>
    <row r="16" spans="2:22">
      <c r="B16" s="13"/>
      <c r="C16" s="21" t="s">
        <v>42</v>
      </c>
      <c r="D16" s="21" t="s">
        <v>33</v>
      </c>
      <c r="E16"/>
      <c r="F16" s="22" t="s">
        <v>43</v>
      </c>
      <c r="G16" s="22" t="s">
        <v>31</v>
      </c>
      <c r="H16" s="14"/>
    </row>
    <row r="17" spans="2:8">
      <c r="B17" s="13"/>
      <c r="C17" s="18" t="s">
        <v>44</v>
      </c>
      <c r="D17" s="68">
        <v>0</v>
      </c>
      <c r="E17"/>
      <c r="F17" s="18" t="s">
        <v>45</v>
      </c>
      <c r="G17" s="68">
        <v>2</v>
      </c>
      <c r="H17" s="14"/>
    </row>
    <row r="18" spans="2:8">
      <c r="B18" s="13"/>
      <c r="C18" s="18" t="s">
        <v>46</v>
      </c>
      <c r="D18" s="68">
        <v>0</v>
      </c>
      <c r="E18"/>
      <c r="F18" s="37" t="s">
        <v>47</v>
      </c>
      <c r="G18" s="68">
        <v>2</v>
      </c>
      <c r="H18" s="14"/>
    </row>
    <row r="19" spans="2:8">
      <c r="B19" s="13"/>
      <c r="C19" s="49"/>
      <c r="E19"/>
      <c r="F19" s="18" t="s">
        <v>48</v>
      </c>
      <c r="G19" s="68">
        <v>13</v>
      </c>
      <c r="H19" s="14"/>
    </row>
    <row r="20" spans="2:8">
      <c r="B20" s="13"/>
      <c r="C20" s="49"/>
      <c r="E20"/>
      <c r="F20" s="18" t="s">
        <v>49</v>
      </c>
      <c r="G20" s="68">
        <v>0</v>
      </c>
      <c r="H20" s="14"/>
    </row>
    <row r="21" spans="2:8">
      <c r="B21" s="13"/>
      <c r="C21" s="49" t="s">
        <v>50</v>
      </c>
      <c r="E21"/>
      <c r="F21"/>
      <c r="G21"/>
      <c r="H21" s="14"/>
    </row>
    <row r="22" spans="2:8">
      <c r="B22" s="13"/>
      <c r="C22" s="95" t="s">
        <v>51</v>
      </c>
      <c r="D22" s="96"/>
      <c r="E22" s="96"/>
      <c r="F22" s="96"/>
      <c r="G22" s="97"/>
      <c r="H22" s="14"/>
    </row>
    <row r="23" spans="2:8">
      <c r="B23" s="13"/>
      <c r="C23" s="98"/>
      <c r="D23" s="99"/>
      <c r="E23" s="99"/>
      <c r="F23" s="99"/>
      <c r="G23" s="100"/>
      <c r="H23" s="14"/>
    </row>
    <row r="24" spans="2:8">
      <c r="B24" s="13"/>
      <c r="C24" s="98"/>
      <c r="D24" s="99"/>
      <c r="E24" s="99"/>
      <c r="F24" s="99"/>
      <c r="G24" s="100"/>
      <c r="H24" s="14"/>
    </row>
    <row r="25" spans="2:8">
      <c r="B25" s="13"/>
      <c r="C25" s="101"/>
      <c r="D25" s="102"/>
      <c r="E25" s="102"/>
      <c r="F25" s="102"/>
      <c r="G25" s="103"/>
      <c r="H25" s="14"/>
    </row>
    <row r="26" spans="2:8" ht="15.75" thickBot="1">
      <c r="B26" s="15"/>
      <c r="C26" s="16"/>
      <c r="D26" s="16"/>
      <c r="E26" s="16"/>
      <c r="F26" s="16"/>
      <c r="G26" s="16"/>
      <c r="H26" s="17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44580</formula1>
      <formula2>44642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C1" zoomScale="97" zoomScaleNormal="69" workbookViewId="0">
      <selection activeCell="F36" sqref="F36"/>
    </sheetView>
  </sheetViews>
  <sheetFormatPr defaultColWidth="11.42578125" defaultRowHeight="1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/>
    <row r="2" spans="2:23" ht="9" customHeight="1">
      <c r="B2" s="10"/>
      <c r="C2" s="11"/>
      <c r="D2" s="11"/>
      <c r="E2" s="11"/>
      <c r="F2" s="11"/>
      <c r="G2" s="11"/>
      <c r="H2" s="11"/>
      <c r="I2" s="12"/>
    </row>
    <row r="3" spans="2:23">
      <c r="B3" s="13"/>
      <c r="I3" s="14"/>
      <c r="W3" s="25">
        <f>+IF(D17&lt;=10,D17,IF(ROUNDDOWN(D17*10%,0)&lt;10,10,ROUNDDOWN(D17*10%,0)))</f>
        <v>0</v>
      </c>
    </row>
    <row r="4" spans="2:23">
      <c r="B4" s="13"/>
      <c r="I4" s="14"/>
    </row>
    <row r="5" spans="2:23" ht="9" customHeight="1">
      <c r="B5" s="13"/>
      <c r="I5" s="14"/>
    </row>
    <row r="6" spans="2:23" ht="19.5" customHeight="1">
      <c r="B6" s="13"/>
      <c r="C6" s="108" t="s">
        <v>52</v>
      </c>
      <c r="D6" s="108"/>
      <c r="E6" s="108"/>
      <c r="F6" s="108"/>
      <c r="G6" s="108"/>
      <c r="H6" s="108"/>
      <c r="I6" s="27"/>
    </row>
    <row r="7" spans="2:23">
      <c r="B7" s="13"/>
      <c r="E7" s="71" t="s">
        <v>5</v>
      </c>
      <c r="I7" s="14"/>
      <c r="U7" s="1" t="s">
        <v>6</v>
      </c>
    </row>
    <row r="8" spans="2:23">
      <c r="B8" s="13"/>
      <c r="C8" s="21" t="s">
        <v>7</v>
      </c>
      <c r="D8" s="69">
        <v>44629</v>
      </c>
      <c r="E8"/>
      <c r="F8" s="31" t="s">
        <v>53</v>
      </c>
      <c r="G8" s="31" t="s">
        <v>54</v>
      </c>
      <c r="I8" s="14"/>
      <c r="U8" s="1" t="s">
        <v>8</v>
      </c>
    </row>
    <row r="9" spans="2:23">
      <c r="B9" s="13"/>
      <c r="E9"/>
      <c r="F9" s="18" t="s">
        <v>55</v>
      </c>
      <c r="G9" s="68">
        <v>46</v>
      </c>
      <c r="I9" s="14"/>
    </row>
    <row r="10" spans="2:23">
      <c r="B10" s="13"/>
      <c r="C10" s="21" t="s">
        <v>56</v>
      </c>
      <c r="D10" s="21" t="s">
        <v>33</v>
      </c>
      <c r="E10"/>
      <c r="F10" s="18" t="s">
        <v>57</v>
      </c>
      <c r="G10" s="68">
        <v>46</v>
      </c>
      <c r="I10" s="14"/>
    </row>
    <row r="11" spans="2:23">
      <c r="B11" s="13"/>
      <c r="C11" s="18" t="s">
        <v>58</v>
      </c>
      <c r="D11" s="68">
        <v>46</v>
      </c>
      <c r="E11"/>
      <c r="F11" s="18" t="s">
        <v>59</v>
      </c>
      <c r="G11" s="68">
        <v>46</v>
      </c>
      <c r="I11" s="14"/>
    </row>
    <row r="12" spans="2:23">
      <c r="B12" s="13"/>
      <c r="C12" s="18" t="s">
        <v>60</v>
      </c>
      <c r="D12" s="68">
        <v>747</v>
      </c>
      <c r="E12"/>
      <c r="F12" s="32" t="s">
        <v>61</v>
      </c>
      <c r="I12" s="14"/>
    </row>
    <row r="13" spans="2:23">
      <c r="B13" s="13"/>
      <c r="C13" s="18" t="s">
        <v>62</v>
      </c>
      <c r="D13" s="68">
        <v>36</v>
      </c>
      <c r="E13"/>
      <c r="F13" s="32" t="s">
        <v>63</v>
      </c>
      <c r="I13" s="14"/>
    </row>
    <row r="14" spans="2:23">
      <c r="B14" s="13"/>
      <c r="C14" s="32" t="s">
        <v>64</v>
      </c>
      <c r="E14"/>
      <c r="F14" s="22" t="s">
        <v>65</v>
      </c>
      <c r="G14" s="22" t="s">
        <v>33</v>
      </c>
      <c r="I14" s="14"/>
    </row>
    <row r="15" spans="2:23">
      <c r="B15" s="13"/>
      <c r="C15" s="21" t="s">
        <v>66</v>
      </c>
      <c r="D15" s="21" t="s">
        <v>33</v>
      </c>
      <c r="E15"/>
      <c r="F15" s="18" t="s">
        <v>67</v>
      </c>
      <c r="G15" s="68">
        <v>747</v>
      </c>
      <c r="I15" s="14"/>
    </row>
    <row r="16" spans="2:23">
      <c r="B16" s="13"/>
      <c r="C16" s="18" t="s">
        <v>68</v>
      </c>
      <c r="D16" s="68">
        <v>0</v>
      </c>
      <c r="E16"/>
      <c r="F16" s="18" t="s">
        <v>69</v>
      </c>
      <c r="G16" s="68">
        <v>42</v>
      </c>
      <c r="I16" s="14"/>
    </row>
    <row r="17" spans="2:9">
      <c r="B17" s="13"/>
      <c r="C17" s="18" t="s">
        <v>70</v>
      </c>
      <c r="D17" s="68">
        <v>0</v>
      </c>
      <c r="E17"/>
      <c r="F17" s="18" t="s">
        <v>71</v>
      </c>
      <c r="G17" s="68">
        <v>740</v>
      </c>
      <c r="I17" s="14"/>
    </row>
    <row r="18" spans="2:9">
      <c r="B18" s="13"/>
      <c r="C18" s="32" t="s">
        <v>72</v>
      </c>
      <c r="E18"/>
      <c r="F18" s="18" t="s">
        <v>73</v>
      </c>
      <c r="G18" s="68">
        <v>220</v>
      </c>
      <c r="I18" s="14"/>
    </row>
    <row r="19" spans="2:9">
      <c r="B19" s="13"/>
      <c r="E19"/>
      <c r="I19" s="14"/>
    </row>
    <row r="20" spans="2:9" ht="29.25" customHeight="1">
      <c r="B20" s="13"/>
      <c r="C20" s="42" t="s">
        <v>74</v>
      </c>
      <c r="D20" s="42" t="s">
        <v>33</v>
      </c>
      <c r="E20"/>
      <c r="F20" s="33" t="s">
        <v>75</v>
      </c>
      <c r="G20" s="33" t="s">
        <v>76</v>
      </c>
      <c r="H20" s="34" t="s">
        <v>77</v>
      </c>
      <c r="I20" s="14"/>
    </row>
    <row r="21" spans="2:9">
      <c r="B21" s="13"/>
      <c r="C21" s="51" t="s">
        <v>78</v>
      </c>
      <c r="D21" s="68">
        <v>228</v>
      </c>
      <c r="E21"/>
      <c r="F21" s="18" t="s">
        <v>79</v>
      </c>
      <c r="G21" s="68">
        <v>121</v>
      </c>
      <c r="H21" s="68">
        <v>74</v>
      </c>
      <c r="I21" s="14"/>
    </row>
    <row r="22" spans="2:9" ht="15" customHeight="1">
      <c r="B22" s="13"/>
      <c r="C22" s="51" t="s">
        <v>80</v>
      </c>
      <c r="D22" s="68">
        <v>0</v>
      </c>
      <c r="E22"/>
      <c r="F22" s="18" t="s">
        <v>81</v>
      </c>
      <c r="G22" s="68">
        <v>147</v>
      </c>
      <c r="H22" s="68">
        <v>83</v>
      </c>
      <c r="I22" s="14"/>
    </row>
    <row r="23" spans="2:9" ht="24.75">
      <c r="B23" s="13"/>
      <c r="C23" s="57" t="s">
        <v>82</v>
      </c>
      <c r="D23" s="57"/>
      <c r="E23"/>
      <c r="F23" s="18" t="s">
        <v>83</v>
      </c>
      <c r="G23" s="68">
        <v>105</v>
      </c>
      <c r="H23" s="68">
        <v>98</v>
      </c>
      <c r="I23" s="14"/>
    </row>
    <row r="24" spans="2:9">
      <c r="B24" s="13"/>
      <c r="E24"/>
      <c r="F24" s="18" t="s">
        <v>84</v>
      </c>
      <c r="G24" s="68">
        <v>154</v>
      </c>
      <c r="H24" s="68">
        <v>136</v>
      </c>
      <c r="I24" s="14"/>
    </row>
    <row r="25" spans="2:9" ht="30" customHeight="1">
      <c r="B25" s="13"/>
      <c r="C25" s="59" t="str">
        <f>"Seleccione "&amp;W3&amp;" procesos teminados en el  segundo semestre de 2021 y llene la siguiente tabla:"</f>
        <v>Seleccione 0 procesos teminados en el  segundo semestre de 2021 y llene la siguiente tabla:</v>
      </c>
      <c r="D25" s="54"/>
      <c r="E25"/>
      <c r="F25" s="109" t="s">
        <v>85</v>
      </c>
      <c r="G25" s="109"/>
      <c r="H25" s="109"/>
      <c r="I25" s="14"/>
    </row>
    <row r="26" spans="2:9" ht="15.75" thickBot="1">
      <c r="B26" s="13"/>
      <c r="C26" s="55"/>
      <c r="D26" s="56"/>
      <c r="E26"/>
      <c r="F26" s="52"/>
      <c r="I26" s="14"/>
    </row>
    <row r="27" spans="2:9">
      <c r="B27" s="13"/>
      <c r="C27" s="42" t="s">
        <v>86</v>
      </c>
      <c r="D27" s="42" t="s">
        <v>33</v>
      </c>
      <c r="E27"/>
      <c r="F27" s="104" t="s">
        <v>87</v>
      </c>
      <c r="G27" s="105"/>
      <c r="H27" s="106"/>
      <c r="I27" s="14"/>
    </row>
    <row r="28" spans="2:9">
      <c r="B28" s="13"/>
      <c r="C28" s="18" t="s">
        <v>88</v>
      </c>
      <c r="D28" s="68">
        <v>46</v>
      </c>
      <c r="E28"/>
      <c r="F28" s="107" t="s">
        <v>89</v>
      </c>
      <c r="G28" s="107"/>
      <c r="H28" s="107"/>
      <c r="I28" s="14"/>
    </row>
    <row r="29" spans="2:9">
      <c r="B29" s="13"/>
      <c r="C29" s="18" t="s">
        <v>90</v>
      </c>
      <c r="D29" s="68">
        <v>0</v>
      </c>
      <c r="E29"/>
      <c r="F29" s="107"/>
      <c r="G29" s="107"/>
      <c r="H29" s="107"/>
      <c r="I29" s="14"/>
    </row>
    <row r="30" spans="2:9">
      <c r="B30" s="13"/>
      <c r="C30" s="18" t="s">
        <v>91</v>
      </c>
      <c r="D30" s="68">
        <v>0</v>
      </c>
      <c r="E30"/>
      <c r="F30" s="107"/>
      <c r="G30" s="107"/>
      <c r="H30" s="107"/>
      <c r="I30" s="14"/>
    </row>
    <row r="31" spans="2:9">
      <c r="B31" s="13"/>
      <c r="C31" s="18" t="s">
        <v>92</v>
      </c>
      <c r="D31" s="68">
        <v>0</v>
      </c>
      <c r="E31"/>
      <c r="F31" s="107"/>
      <c r="G31" s="107"/>
      <c r="H31" s="107"/>
      <c r="I31" s="14"/>
    </row>
    <row r="32" spans="2:9">
      <c r="B32" s="13"/>
      <c r="C32" s="18" t="s">
        <v>93</v>
      </c>
      <c r="D32" s="68">
        <v>0</v>
      </c>
      <c r="E32"/>
      <c r="F32" s="107"/>
      <c r="G32" s="107"/>
      <c r="H32" s="107"/>
      <c r="I32" s="14"/>
    </row>
    <row r="33" spans="2:9">
      <c r="B33" s="13"/>
      <c r="E33"/>
      <c r="F33" s="107"/>
      <c r="G33" s="107"/>
      <c r="H33" s="107"/>
      <c r="I33" s="14"/>
    </row>
    <row r="34" spans="2:9" ht="15.75" thickBot="1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xWindow="1169" yWindow="390"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F12" sqref="F12"/>
    </sheetView>
  </sheetViews>
  <sheetFormatPr defaultColWidth="11.42578125" defaultRowHeight="1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  <c r="V2" s="1">
        <f>+D13+D14</f>
        <v>283</v>
      </c>
    </row>
    <row r="3" spans="2:22">
      <c r="B3" s="13"/>
      <c r="H3" s="14"/>
      <c r="V3" s="25">
        <f>+IF(V2&lt;=20,V2,IF(ROUNDDOWN(V2*10%,0)&lt;20,20,ROUNDDOWN(V2*10%,0)))</f>
        <v>28</v>
      </c>
    </row>
    <row r="4" spans="2:22">
      <c r="B4" s="13"/>
      <c r="H4" s="14"/>
    </row>
    <row r="5" spans="2:22">
      <c r="B5" s="13"/>
      <c r="H5" s="14"/>
    </row>
    <row r="6" spans="2:22" ht="15" customHeight="1">
      <c r="B6" s="13"/>
      <c r="G6" s="26"/>
      <c r="H6" s="27"/>
    </row>
    <row r="7" spans="2:22" ht="23.25">
      <c r="B7" s="13"/>
      <c r="C7" s="108" t="s">
        <v>94</v>
      </c>
      <c r="D7" s="108"/>
      <c r="E7" s="108"/>
      <c r="F7" s="108"/>
      <c r="G7" s="108"/>
      <c r="H7" s="27"/>
    </row>
    <row r="8" spans="2:22">
      <c r="B8" s="13"/>
      <c r="E8" s="74" t="s">
        <v>5</v>
      </c>
      <c r="H8" s="14"/>
      <c r="T8" s="1" t="s">
        <v>6</v>
      </c>
    </row>
    <row r="9" spans="2:22" ht="15" customHeight="1">
      <c r="B9" s="13"/>
      <c r="C9" s="21" t="s">
        <v>95</v>
      </c>
      <c r="D9" s="21" t="s">
        <v>33</v>
      </c>
      <c r="E9"/>
      <c r="F9" s="91" t="str">
        <f>"Seleccione una muestra de "&amp;V3&amp;" prejudiciales activos registrados antes de 1 de julio de 2021 y complete la siguiente tabla"</f>
        <v>Seleccione una muestra de 28 prejudiciales activos registrados antes de 1 de julio de 2021 y complete la siguiente tabla</v>
      </c>
      <c r="G9" s="92"/>
      <c r="H9" s="14"/>
      <c r="T9" s="1" t="s">
        <v>8</v>
      </c>
    </row>
    <row r="10" spans="2:22">
      <c r="B10" s="13"/>
      <c r="C10" s="18" t="s">
        <v>96</v>
      </c>
      <c r="D10" s="68">
        <v>274</v>
      </c>
      <c r="E10"/>
      <c r="F10" s="93"/>
      <c r="G10" s="94"/>
      <c r="H10" s="14"/>
    </row>
    <row r="11" spans="2:22">
      <c r="B11" s="13"/>
      <c r="C11" s="18" t="s">
        <v>97</v>
      </c>
      <c r="D11" s="68">
        <v>274</v>
      </c>
      <c r="E11"/>
      <c r="F11" s="22" t="s">
        <v>74</v>
      </c>
      <c r="G11" s="22" t="s">
        <v>98</v>
      </c>
      <c r="H11" s="14"/>
    </row>
    <row r="12" spans="2:22">
      <c r="B12" s="13"/>
      <c r="C12" s="18" t="s">
        <v>99</v>
      </c>
      <c r="D12" s="68">
        <v>37</v>
      </c>
      <c r="E12"/>
      <c r="F12" s="30" t="s">
        <v>100</v>
      </c>
      <c r="G12" s="68">
        <v>23</v>
      </c>
      <c r="H12" s="14"/>
    </row>
    <row r="13" spans="2:22">
      <c r="B13" s="13"/>
      <c r="C13" s="18" t="s">
        <v>101</v>
      </c>
      <c r="D13" s="68">
        <v>23</v>
      </c>
      <c r="E13"/>
      <c r="F13" s="18" t="s">
        <v>102</v>
      </c>
      <c r="G13" s="68">
        <v>0</v>
      </c>
      <c r="H13" s="14"/>
    </row>
    <row r="14" spans="2:22">
      <c r="B14" s="13"/>
      <c r="C14" s="18" t="s">
        <v>103</v>
      </c>
      <c r="D14" s="68">
        <v>260</v>
      </c>
      <c r="E14"/>
      <c r="F14"/>
      <c r="G14"/>
      <c r="H14" s="14"/>
    </row>
    <row r="15" spans="2:22">
      <c r="B15" s="13"/>
      <c r="E15"/>
      <c r="F15"/>
      <c r="G15"/>
      <c r="H15" s="14"/>
    </row>
    <row r="16" spans="2:22">
      <c r="B16" s="13"/>
      <c r="C16" s="21" t="s">
        <v>104</v>
      </c>
      <c r="D16" s="21" t="s">
        <v>33</v>
      </c>
      <c r="E16"/>
      <c r="F16" s="110" t="s">
        <v>87</v>
      </c>
      <c r="G16" s="110"/>
      <c r="H16" s="14"/>
    </row>
    <row r="17" spans="2:8">
      <c r="B17" s="13"/>
      <c r="C17" s="18" t="s">
        <v>105</v>
      </c>
      <c r="D17" s="68">
        <v>0</v>
      </c>
      <c r="E17"/>
      <c r="F17" s="107"/>
      <c r="G17" s="107"/>
      <c r="H17" s="14"/>
    </row>
    <row r="18" spans="2:8">
      <c r="B18" s="13"/>
      <c r="C18" s="18" t="s">
        <v>106</v>
      </c>
      <c r="D18" s="68">
        <v>0</v>
      </c>
      <c r="E18"/>
      <c r="F18" s="107"/>
      <c r="G18" s="107"/>
      <c r="H18" s="14"/>
    </row>
    <row r="19" spans="2:8">
      <c r="B19" s="13"/>
      <c r="C19"/>
      <c r="D19"/>
      <c r="E19"/>
      <c r="F19" s="107"/>
      <c r="G19" s="107"/>
      <c r="H19" s="14"/>
    </row>
    <row r="20" spans="2:8">
      <c r="B20" s="13"/>
      <c r="C20"/>
      <c r="D20"/>
      <c r="E20"/>
      <c r="F20" s="107"/>
      <c r="G20" s="107"/>
      <c r="H20" s="14"/>
    </row>
    <row r="21" spans="2:8">
      <c r="B21" s="13"/>
      <c r="E21"/>
      <c r="F21" s="107"/>
      <c r="G21" s="107"/>
      <c r="H21" s="14"/>
    </row>
    <row r="22" spans="2:8">
      <c r="B22" s="13"/>
      <c r="E22"/>
      <c r="F22" s="107"/>
      <c r="G22" s="107"/>
      <c r="H22" s="14"/>
    </row>
    <row r="23" spans="2:8" ht="15.75" thickBot="1">
      <c r="B23" s="15"/>
      <c r="C23" s="16"/>
      <c r="D23" s="16"/>
      <c r="E23" s="16"/>
      <c r="F23" s="16"/>
      <c r="G23" s="16"/>
      <c r="H23" s="17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E28" sqref="E28"/>
    </sheetView>
  </sheetViews>
  <sheetFormatPr defaultColWidth="11.42578125" defaultRowHeight="1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</row>
    <row r="3" spans="2:22">
      <c r="B3" s="13"/>
      <c r="H3" s="14"/>
      <c r="V3" s="25">
        <f>+IF(D10&lt;=10,D10,IF(ROUNDDOWN(D10*10%,0)&gt;10,10,ROUNDDOWN(D10*10%,0)))</f>
        <v>5</v>
      </c>
    </row>
    <row r="4" spans="2:22">
      <c r="B4" s="13"/>
      <c r="H4" s="14"/>
    </row>
    <row r="5" spans="2:22">
      <c r="B5" s="13"/>
      <c r="H5" s="14"/>
    </row>
    <row r="6" spans="2:22" ht="36.75" customHeight="1">
      <c r="B6" s="13"/>
      <c r="C6" s="28" t="s">
        <v>107</v>
      </c>
      <c r="D6" s="29"/>
      <c r="E6" s="24"/>
      <c r="F6"/>
      <c r="G6"/>
      <c r="H6" s="27"/>
    </row>
    <row r="7" spans="2:22">
      <c r="B7" s="13"/>
      <c r="C7" s="1" t="s">
        <v>5</v>
      </c>
      <c r="F7"/>
      <c r="G7"/>
      <c r="H7" s="14"/>
      <c r="T7" s="1" t="s">
        <v>6</v>
      </c>
    </row>
    <row r="8" spans="2:22">
      <c r="B8" s="13"/>
      <c r="C8" s="21" t="s">
        <v>107</v>
      </c>
      <c r="D8" s="21" t="s">
        <v>33</v>
      </c>
      <c r="E8"/>
      <c r="F8" s="21" t="s">
        <v>107</v>
      </c>
      <c r="G8" s="21" t="s">
        <v>33</v>
      </c>
      <c r="H8" s="14"/>
      <c r="T8" s="1" t="s">
        <v>8</v>
      </c>
    </row>
    <row r="9" spans="2:22">
      <c r="B9" s="13"/>
      <c r="C9" s="18" t="s">
        <v>108</v>
      </c>
      <c r="D9" s="68">
        <v>5</v>
      </c>
      <c r="E9"/>
      <c r="F9" s="18" t="s">
        <v>109</v>
      </c>
      <c r="G9" s="68">
        <v>0</v>
      </c>
      <c r="H9" s="14"/>
    </row>
    <row r="10" spans="2:22">
      <c r="B10" s="13"/>
      <c r="C10" s="18" t="s">
        <v>110</v>
      </c>
      <c r="D10" s="68">
        <v>5</v>
      </c>
      <c r="E10"/>
      <c r="F10" s="18" t="s">
        <v>111</v>
      </c>
      <c r="G10" s="68">
        <v>0</v>
      </c>
      <c r="H10" s="14"/>
    </row>
    <row r="11" spans="2:22">
      <c r="B11" s="13"/>
      <c r="D11" s="47"/>
      <c r="E11"/>
      <c r="G11" s="48"/>
      <c r="H11" s="14"/>
    </row>
    <row r="12" spans="2:22">
      <c r="B12" s="13"/>
      <c r="C12" s="49" t="s">
        <v>27</v>
      </c>
      <c r="D12" s="47"/>
      <c r="E12"/>
      <c r="G12" s="48"/>
      <c r="H12" s="14"/>
      <c r="T12" s="1">
        <f>IF(D9="",0,1)</f>
        <v>1</v>
      </c>
    </row>
    <row r="13" spans="2:22">
      <c r="B13" s="13"/>
      <c r="C13" s="95" t="s">
        <v>112</v>
      </c>
      <c r="D13" s="96"/>
      <c r="E13" s="96"/>
      <c r="F13" s="96"/>
      <c r="G13" s="97"/>
      <c r="H13" s="14"/>
    </row>
    <row r="14" spans="2:22">
      <c r="B14" s="13"/>
      <c r="C14" s="98"/>
      <c r="D14" s="99"/>
      <c r="E14" s="99"/>
      <c r="F14" s="99"/>
      <c r="G14" s="100"/>
      <c r="H14" s="14"/>
    </row>
    <row r="15" spans="2:22">
      <c r="B15" s="13"/>
      <c r="C15" s="98"/>
      <c r="D15" s="99"/>
      <c r="E15" s="99"/>
      <c r="F15" s="99"/>
      <c r="G15" s="100"/>
      <c r="H15" s="14"/>
    </row>
    <row r="16" spans="2:22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topLeftCell="A2" workbookViewId="0">
      <selection activeCell="F40" sqref="F40"/>
    </sheetView>
  </sheetViews>
  <sheetFormatPr defaultColWidth="11.42578125" defaultRowHeight="1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</row>
    <row r="3" spans="2:22">
      <c r="B3" s="13"/>
      <c r="H3" s="14"/>
      <c r="V3" s="25">
        <f>+IF(D10&lt;=10,D10,IF(ROUNDDOWN(D10*10%,0)&gt;10,10,ROUNDDOWN(D10*10%,0)))</f>
        <v>0</v>
      </c>
    </row>
    <row r="4" spans="2:22">
      <c r="B4" s="13"/>
      <c r="H4" s="14"/>
    </row>
    <row r="5" spans="2:22">
      <c r="B5" s="13"/>
      <c r="H5" s="14"/>
    </row>
    <row r="6" spans="2:22" ht="21.75" customHeight="1">
      <c r="B6" s="13"/>
      <c r="C6" s="108" t="s">
        <v>113</v>
      </c>
      <c r="D6" s="108"/>
      <c r="E6" s="24"/>
      <c r="F6"/>
      <c r="G6"/>
      <c r="H6" s="27"/>
      <c r="T6" s="1" t="s">
        <v>4</v>
      </c>
    </row>
    <row r="7" spans="2:22">
      <c r="B7" s="13"/>
      <c r="C7" s="1" t="s">
        <v>5</v>
      </c>
      <c r="F7" s="50" t="s">
        <v>27</v>
      </c>
      <c r="G7"/>
      <c r="H7" s="14"/>
      <c r="T7" s="1" t="s">
        <v>6</v>
      </c>
    </row>
    <row r="8" spans="2:22">
      <c r="B8" s="13"/>
      <c r="C8" s="21" t="s">
        <v>114</v>
      </c>
      <c r="D8" s="21" t="s">
        <v>33</v>
      </c>
      <c r="E8"/>
      <c r="F8" s="95" t="s">
        <v>115</v>
      </c>
      <c r="G8" s="97"/>
      <c r="H8" s="14"/>
      <c r="T8" s="1" t="s">
        <v>8</v>
      </c>
    </row>
    <row r="9" spans="2:22">
      <c r="B9" s="13"/>
      <c r="C9" s="18" t="s">
        <v>116</v>
      </c>
      <c r="D9" s="68" t="s">
        <v>6</v>
      </c>
      <c r="E9"/>
      <c r="F9" s="98"/>
      <c r="G9" s="100"/>
      <c r="H9" s="14"/>
    </row>
    <row r="10" spans="2:22">
      <c r="B10" s="13"/>
      <c r="C10" s="18" t="s">
        <v>117</v>
      </c>
      <c r="D10" s="68">
        <v>0</v>
      </c>
      <c r="E10"/>
      <c r="F10" s="101"/>
      <c r="G10" s="103"/>
      <c r="H10" s="14"/>
    </row>
    <row r="11" spans="2:22" ht="15.75" thickBot="1">
      <c r="B11" s="15"/>
      <c r="C11" s="16"/>
      <c r="D11" s="16"/>
      <c r="E11" s="16"/>
      <c r="F11" s="16"/>
      <c r="G11" s="16"/>
      <c r="H11" s="17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5" priority="3">
      <formula>LEN(TRIM(D10))=0</formula>
    </cfRule>
  </conditionalFormatting>
  <conditionalFormatting sqref="D9">
    <cfRule type="containsBlanks" dxfId="4" priority="2">
      <formula>LEN(TRIM(D9))=0</formula>
    </cfRule>
  </conditionalFormatting>
  <conditionalFormatting sqref="F8">
    <cfRule type="containsBlanks" dxfId="3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B23" sqref="B23:F26"/>
    </sheetView>
  </sheetViews>
  <sheetFormatPr defaultColWidth="11.42578125" defaultRowHeight="1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>
      <c r="B2" s="112" t="s">
        <v>118</v>
      </c>
      <c r="C2" s="112"/>
      <c r="D2" s="112"/>
      <c r="E2" s="112"/>
      <c r="F2" s="112"/>
      <c r="G2" s="112"/>
      <c r="H2" s="39"/>
      <c r="I2" s="39"/>
      <c r="J2" s="39"/>
      <c r="K2" s="39"/>
      <c r="L2" s="39"/>
      <c r="M2" s="40"/>
    </row>
    <row r="3" spans="2:13" ht="18.75">
      <c r="B3" s="112" t="s">
        <v>1</v>
      </c>
      <c r="C3" s="112"/>
      <c r="D3" s="112"/>
      <c r="E3" s="112"/>
      <c r="F3" s="112"/>
      <c r="G3" s="112"/>
      <c r="H3" s="39"/>
      <c r="I3" s="39"/>
      <c r="J3" s="39"/>
      <c r="K3" s="39"/>
      <c r="L3" s="39"/>
      <c r="M3" s="40"/>
    </row>
    <row r="4" spans="2:13" ht="23.25">
      <c r="B4" s="35"/>
      <c r="C4" s="75"/>
      <c r="D4" s="75" t="s">
        <v>119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>
      <c r="B5" t="s">
        <v>120</v>
      </c>
      <c r="C5" s="111" t="s">
        <v>121</v>
      </c>
      <c r="D5" s="111"/>
      <c r="E5" s="111"/>
      <c r="F5" s="111"/>
      <c r="G5" s="111"/>
    </row>
    <row r="6" spans="2:13" ht="15.75" thickBot="1">
      <c r="B6" t="s">
        <v>122</v>
      </c>
      <c r="C6" s="111" t="s">
        <v>23</v>
      </c>
      <c r="D6" s="111"/>
      <c r="E6" s="111"/>
      <c r="F6" s="111"/>
      <c r="G6" s="111"/>
    </row>
    <row r="8" spans="2:13">
      <c r="B8" t="s">
        <v>123</v>
      </c>
      <c r="C8" s="38" t="str">
        <f>+IF(SUM(USUARIOS!I12:J17)=0,"Falta diligenciar","")</f>
        <v/>
      </c>
      <c r="E8" t="s">
        <v>124</v>
      </c>
      <c r="F8" s="38" t="str">
        <f>+IF(PREJUDICIALES!$D$10="","Falta  actualizar","")</f>
        <v/>
      </c>
    </row>
    <row r="9" spans="2:13">
      <c r="B9" s="37" t="s">
        <v>125</v>
      </c>
      <c r="C9" s="73">
        <f>+SUM(USUARIOS!I12:I17)/(6-SUM(USUARIOS!H12:H17))</f>
        <v>0.83333333333333337</v>
      </c>
      <c r="E9" s="37" t="s">
        <v>126</v>
      </c>
      <c r="F9" s="72">
        <f>+PREJUDICIALES!$D$11</f>
        <v>274</v>
      </c>
    </row>
    <row r="10" spans="2:13">
      <c r="B10" s="37" t="s">
        <v>127</v>
      </c>
      <c r="C10" s="72">
        <f>+ABOGADOS!$D$12+SUM(USUARIOS!I12:I17)</f>
        <v>20</v>
      </c>
      <c r="E10" s="37" t="s">
        <v>128</v>
      </c>
      <c r="F10" s="73">
        <f>IFERROR(PREJUDICIALES!$D$11/PREJUDICIALES!$D$10,"")</f>
        <v>1</v>
      </c>
    </row>
    <row r="11" spans="2:13">
      <c r="B11" s="37" t="s">
        <v>129</v>
      </c>
      <c r="C11" s="72" t="s">
        <v>130</v>
      </c>
      <c r="E11" s="37" t="s">
        <v>131</v>
      </c>
      <c r="F11" s="73">
        <f>IFERROR(PREJUDICIALES!$G$13/PREJUDICIALES!$V$3,"")</f>
        <v>0</v>
      </c>
    </row>
    <row r="12" spans="2:13">
      <c r="B12" s="37" t="s">
        <v>132</v>
      </c>
      <c r="C12" s="73">
        <f>IFERROR((ABOGADOS!$G$17+ABOGADOS!$G$18+ABOGADOS!$G$19*0.5)/ABOGADOS!D12,"")</f>
        <v>0.7</v>
      </c>
    </row>
    <row r="13" spans="2:13">
      <c r="E13" t="s">
        <v>107</v>
      </c>
      <c r="F13" s="38" t="str">
        <f>+IF(ARBITRAMENTOS!T17=0,"Falta  actualizar","")</f>
        <v/>
      </c>
    </row>
    <row r="14" spans="2:13">
      <c r="B14" t="s">
        <v>133</v>
      </c>
      <c r="C14" s="38" t="str">
        <f>+IF(JUDICIALES!$D$11="","Falta  actualizar","")</f>
        <v/>
      </c>
      <c r="E14" s="37" t="s">
        <v>134</v>
      </c>
      <c r="F14" s="72">
        <f>+ARBITRAMENTOS!D10</f>
        <v>5</v>
      </c>
    </row>
    <row r="15" spans="2:13">
      <c r="B15" s="37" t="s">
        <v>135</v>
      </c>
      <c r="C15" s="72">
        <f>+JUDICIALES!$D$12</f>
        <v>747</v>
      </c>
      <c r="E15" s="37" t="s">
        <v>128</v>
      </c>
      <c r="F15" s="73">
        <f>IFERROR(ARBITRAMENTOS!D10/ARBITRAMENTOS!D9,"")</f>
        <v>1</v>
      </c>
    </row>
    <row r="16" spans="2:13">
      <c r="B16" s="37" t="s">
        <v>128</v>
      </c>
      <c r="C16" s="73">
        <f>IFERROR(JUDICIALES!$D$12/JUDICIALES!$D$11,"")</f>
        <v>16.239130434782609</v>
      </c>
    </row>
    <row r="17" spans="2:6">
      <c r="B17" s="37" t="s">
        <v>136</v>
      </c>
      <c r="C17" s="73">
        <f>IFERROR(JUDICIALES!$G$11/JUDICIALES!$G$10,"")</f>
        <v>1</v>
      </c>
      <c r="E17" t="s">
        <v>137</v>
      </c>
      <c r="F17" s="38" t="str">
        <f>+IF(PAGOS!D9="","Falta  actualizar","")</f>
        <v/>
      </c>
    </row>
    <row r="18" spans="2:6">
      <c r="B18" s="37" t="s">
        <v>138</v>
      </c>
      <c r="C18" s="72">
        <f>IFERROR(C15/ABOGADOS!$D$12,"")</f>
        <v>49.8</v>
      </c>
      <c r="E18" s="37" t="s">
        <v>139</v>
      </c>
      <c r="F18" s="72">
        <f>+PAGOS!D10</f>
        <v>0</v>
      </c>
    </row>
    <row r="19" spans="2:6">
      <c r="B19" s="37" t="s">
        <v>140</v>
      </c>
      <c r="C19" s="73">
        <f>IFERROR(1-(JUDICIALES!$H$22+JUDICIALES!$H$23+JUDICIALES!$H$24)/(JUDICIALES!$G$22+JUDICIALES!$G$23+JUDICIALES!$G$24),"")</f>
        <v>0.21921182266009853</v>
      </c>
      <c r="E19" s="37" t="s">
        <v>141</v>
      </c>
      <c r="F19" s="72" t="str">
        <f>+IF(PAGOS!D9="No","No aplica","si")</f>
        <v>No aplica</v>
      </c>
    </row>
    <row r="21" spans="2:6" ht="15.75" thickBot="1"/>
    <row r="22" spans="2:6">
      <c r="B22" s="2" t="s">
        <v>27</v>
      </c>
      <c r="C22" s="3"/>
      <c r="D22" s="3"/>
      <c r="E22" s="3"/>
      <c r="F22" s="4"/>
    </row>
    <row r="23" spans="2:6">
      <c r="B23" s="95"/>
      <c r="C23" s="96"/>
      <c r="D23" s="96"/>
      <c r="E23" s="96"/>
      <c r="F23" s="97"/>
    </row>
    <row r="24" spans="2:6">
      <c r="B24" s="98"/>
      <c r="C24" s="99"/>
      <c r="D24" s="99"/>
      <c r="E24" s="99"/>
      <c r="F24" s="100"/>
    </row>
    <row r="25" spans="2:6">
      <c r="B25" s="98"/>
      <c r="C25" s="99"/>
      <c r="D25" s="99"/>
      <c r="E25" s="99"/>
      <c r="F25" s="100"/>
    </row>
    <row r="26" spans="2:6">
      <c r="B26" s="101"/>
      <c r="C26" s="102"/>
      <c r="D26" s="102"/>
      <c r="E26" s="102"/>
      <c r="F26" s="103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defaultColWidth="10.7109375" defaultRowHeight="15"/>
  <cols>
    <col min="1" max="1" width="34.5703125" style="60" customWidth="1"/>
    <col min="2" max="2" width="29.5703125" style="60" customWidth="1"/>
    <col min="3" max="16384" width="10.7109375" style="60"/>
  </cols>
  <sheetData>
    <row r="2" spans="1:67">
      <c r="A2" s="63" t="s">
        <v>142</v>
      </c>
      <c r="B2" s="63" t="s">
        <v>143</v>
      </c>
      <c r="C2" s="63" t="s">
        <v>35</v>
      </c>
      <c r="D2" s="63" t="s">
        <v>37</v>
      </c>
      <c r="E2" s="63" t="s">
        <v>39</v>
      </c>
      <c r="F2" s="63" t="s">
        <v>144</v>
      </c>
      <c r="G2" s="63" t="s">
        <v>145</v>
      </c>
      <c r="H2" s="63" t="s">
        <v>146</v>
      </c>
      <c r="I2" s="64" t="s">
        <v>147</v>
      </c>
      <c r="J2" s="64" t="s">
        <v>148</v>
      </c>
      <c r="K2" s="64" t="s">
        <v>149</v>
      </c>
      <c r="L2" s="64" t="s">
        <v>150</v>
      </c>
      <c r="M2" s="64" t="s">
        <v>151</v>
      </c>
      <c r="N2" s="64" t="s">
        <v>152</v>
      </c>
      <c r="O2" s="64" t="s">
        <v>153</v>
      </c>
      <c r="P2" s="63" t="s">
        <v>58</v>
      </c>
      <c r="Q2" s="63" t="s">
        <v>60</v>
      </c>
      <c r="R2" s="63" t="s">
        <v>154</v>
      </c>
      <c r="S2" s="63" t="s">
        <v>155</v>
      </c>
      <c r="T2" s="63" t="s">
        <v>156</v>
      </c>
      <c r="U2" s="63" t="s">
        <v>157</v>
      </c>
      <c r="V2" s="63" t="s">
        <v>158</v>
      </c>
      <c r="W2" s="63" t="s">
        <v>88</v>
      </c>
      <c r="X2" s="63" t="s">
        <v>90</v>
      </c>
      <c r="Y2" s="63" t="s">
        <v>91</v>
      </c>
      <c r="Z2" s="63" t="s">
        <v>92</v>
      </c>
      <c r="AA2" s="63" t="s">
        <v>93</v>
      </c>
      <c r="AB2" s="64" t="s">
        <v>159</v>
      </c>
      <c r="AC2" s="64" t="s">
        <v>160</v>
      </c>
      <c r="AD2" s="64" t="s">
        <v>161</v>
      </c>
      <c r="AE2" s="63" t="s">
        <v>162</v>
      </c>
      <c r="AF2" s="63" t="s">
        <v>163</v>
      </c>
      <c r="AG2" s="63" t="s">
        <v>164</v>
      </c>
      <c r="AH2" s="63" t="s">
        <v>73</v>
      </c>
      <c r="AI2" s="63" t="s">
        <v>165</v>
      </c>
      <c r="AJ2" s="63" t="s">
        <v>166</v>
      </c>
      <c r="AK2" s="63" t="s">
        <v>167</v>
      </c>
      <c r="AL2" s="63" t="s">
        <v>168</v>
      </c>
      <c r="AM2" s="63" t="s">
        <v>169</v>
      </c>
      <c r="AN2" s="63" t="s">
        <v>170</v>
      </c>
      <c r="AO2" s="63" t="s">
        <v>171</v>
      </c>
      <c r="AP2" s="63" t="s">
        <v>172</v>
      </c>
      <c r="AQ2" s="65" t="s">
        <v>96</v>
      </c>
      <c r="AR2" s="65" t="s">
        <v>97</v>
      </c>
      <c r="AS2" s="65" t="s">
        <v>173</v>
      </c>
      <c r="AT2" s="65" t="s">
        <v>174</v>
      </c>
      <c r="AU2" s="65" t="s">
        <v>175</v>
      </c>
      <c r="AV2" s="65" t="s">
        <v>176</v>
      </c>
      <c r="AW2" s="65" t="s">
        <v>177</v>
      </c>
      <c r="AX2" s="65" t="s">
        <v>100</v>
      </c>
      <c r="AY2" s="65" t="s">
        <v>178</v>
      </c>
      <c r="AZ2" s="65" t="s">
        <v>179</v>
      </c>
      <c r="BA2" s="65" t="s">
        <v>110</v>
      </c>
      <c r="BB2" s="66" t="s">
        <v>180</v>
      </c>
      <c r="BC2" s="66" t="s">
        <v>111</v>
      </c>
      <c r="BD2" s="67" t="s">
        <v>181</v>
      </c>
      <c r="BE2" s="67" t="s">
        <v>182</v>
      </c>
      <c r="BF2" s="67" t="s">
        <v>183</v>
      </c>
      <c r="BG2" s="67" t="s">
        <v>184</v>
      </c>
      <c r="BH2" s="67" t="s">
        <v>185</v>
      </c>
      <c r="BI2" s="67" t="s">
        <v>186</v>
      </c>
      <c r="BJ2" s="67" t="s">
        <v>187</v>
      </c>
      <c r="BK2" s="67" t="s">
        <v>188</v>
      </c>
      <c r="BL2" s="67" t="s">
        <v>189</v>
      </c>
      <c r="BM2" s="67" t="s">
        <v>190</v>
      </c>
      <c r="BN2" s="67" t="s">
        <v>191</v>
      </c>
      <c r="BO2" s="67" t="s">
        <v>192</v>
      </c>
    </row>
    <row r="3" spans="1:67">
      <c r="A3" s="60" t="str">
        <f>'Resumen General'!C5</f>
        <v>AGENCIA NACIONAL DE MINERIA</v>
      </c>
      <c r="B3" s="60" t="str">
        <f>'Resumen General'!C6</f>
        <v>ADRIANA ESTELLA GIRALDO RAMIREZ</v>
      </c>
      <c r="C3" s="60">
        <f>+ABOGADOS!D11</f>
        <v>15</v>
      </c>
      <c r="D3" s="60">
        <f>+ABOGADOS!D12</f>
        <v>15</v>
      </c>
      <c r="E3" s="60">
        <f>+ABOGADOS!D13</f>
        <v>15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15</v>
      </c>
      <c r="J3" s="60">
        <f>+ABOGADOS!G11</f>
        <v>15</v>
      </c>
      <c r="K3" s="60">
        <f>+ABOGADOS!G12</f>
        <v>15</v>
      </c>
      <c r="L3" s="60">
        <f>+ABOGADOS!G17</f>
        <v>2</v>
      </c>
      <c r="M3" s="60">
        <f>+ABOGADOS!G18</f>
        <v>2</v>
      </c>
      <c r="N3" s="60">
        <f>+ABOGADOS!G19</f>
        <v>13</v>
      </c>
      <c r="O3" s="60">
        <f>+ABOGADOS!G21</f>
        <v>0</v>
      </c>
      <c r="P3" s="60">
        <f>+JUDICIALES!D11</f>
        <v>46</v>
      </c>
      <c r="Q3" s="60">
        <f>+JUDICIALES!D12</f>
        <v>747</v>
      </c>
      <c r="R3" s="60">
        <f>+JUDICIALES!D13</f>
        <v>36</v>
      </c>
      <c r="S3" s="60">
        <f>+JUDICIALES!D16</f>
        <v>0</v>
      </c>
      <c r="T3" s="60">
        <f>+JUDICIALES!D17</f>
        <v>0</v>
      </c>
      <c r="U3" s="60">
        <f>+JUDICIALES!D21</f>
        <v>228</v>
      </c>
      <c r="V3" s="60">
        <f>+JUDICIALES!D22</f>
        <v>0</v>
      </c>
      <c r="W3" s="60">
        <f>JUDICIALES!D28</f>
        <v>46</v>
      </c>
      <c r="X3" s="60">
        <f>JUDICIALES!D29</f>
        <v>0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46</v>
      </c>
      <c r="AC3" s="60">
        <f>+JUDICIALES!G10</f>
        <v>46</v>
      </c>
      <c r="AD3" s="60">
        <f>+JUDICIALES!G11</f>
        <v>46</v>
      </c>
      <c r="AE3" s="60">
        <f>+JUDICIALES!G15</f>
        <v>747</v>
      </c>
      <c r="AF3" s="60">
        <f>+JUDICIALES!G16</f>
        <v>42</v>
      </c>
      <c r="AG3" s="60">
        <f>+JUDICIALES!G17</f>
        <v>740</v>
      </c>
      <c r="AH3" s="60">
        <f>+JUDICIALES!G18</f>
        <v>220</v>
      </c>
      <c r="AI3" s="60">
        <f>+JUDICIALES!G21</f>
        <v>121</v>
      </c>
      <c r="AJ3" s="60">
        <f>+JUDICIALES!G22</f>
        <v>147</v>
      </c>
      <c r="AK3" s="60">
        <f>+JUDICIALES!G23</f>
        <v>105</v>
      </c>
      <c r="AL3" s="60">
        <f>+JUDICIALES!G24</f>
        <v>154</v>
      </c>
      <c r="AM3" s="60">
        <f>+JUDICIALES!H21</f>
        <v>74</v>
      </c>
      <c r="AN3" s="60">
        <f>+JUDICIALES!H22</f>
        <v>83</v>
      </c>
      <c r="AO3" s="60">
        <f>+JUDICIALES!H23</f>
        <v>98</v>
      </c>
      <c r="AP3" s="60">
        <f>+JUDICIALES!H24</f>
        <v>136</v>
      </c>
      <c r="AQ3" s="60">
        <f>+PREJUDICIALES!D10</f>
        <v>274</v>
      </c>
      <c r="AR3" s="60">
        <f>+PREJUDICIALES!D11</f>
        <v>274</v>
      </c>
      <c r="AS3" s="60">
        <f>+PREJUDICIALES!D12</f>
        <v>37</v>
      </c>
      <c r="AT3" s="60">
        <f>+PREJUDICIALES!D13</f>
        <v>23</v>
      </c>
      <c r="AU3" s="60">
        <f>+PREJUDICIALES!D14</f>
        <v>260</v>
      </c>
      <c r="AV3" s="60">
        <f>+PREJUDICIALES!D17</f>
        <v>0</v>
      </c>
      <c r="AW3" s="60">
        <f>+PREJUDICIALES!D18</f>
        <v>0</v>
      </c>
      <c r="AX3" s="60">
        <f>+PREJUDICIALES!G12</f>
        <v>23</v>
      </c>
      <c r="AY3" s="60">
        <f>+PREJUDICIALES!G13</f>
        <v>0</v>
      </c>
      <c r="AZ3" s="60">
        <f>+ARBITRAMENTOS!D9</f>
        <v>5</v>
      </c>
      <c r="BA3" s="60">
        <f>+ARBITRAMENTOS!D10</f>
        <v>5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>
        <f>+PAGOS!D10</f>
        <v>0</v>
      </c>
      <c r="BF3" s="61">
        <f>USUARIOS!D9</f>
        <v>44629</v>
      </c>
      <c r="BG3" s="61">
        <f>ABOGADOS!D7</f>
        <v>44629</v>
      </c>
      <c r="BH3" s="61">
        <f>JUDICIALES!D8</f>
        <v>44629</v>
      </c>
      <c r="BI3" s="60" t="str">
        <f>+USUARIOS!C19</f>
        <v>Una vez revisado el aplicativo eKOGUI, se observa que la entidad no cuenta con  Administrador del sistema a la fecha.</v>
      </c>
      <c r="BJ3" s="60" t="str">
        <f>+ABOGADOS!C22</f>
        <v>No hubo retiros del sistema durante el segundo semestre</v>
      </c>
      <c r="BK3" s="60" t="str">
        <f>+JUDICIALES!F28</f>
        <v xml:space="preserve">No hubo condenas durante el segundo semestre </v>
      </c>
      <c r="BL3" s="60">
        <f>+PREJUDICIALES!F17</f>
        <v>0</v>
      </c>
      <c r="BM3" s="60" t="str">
        <f>+ARBITRAMENTOS!C13</f>
        <v xml:space="preserve">No se reportaron arbitramentos terminados durante </v>
      </c>
      <c r="BN3" s="60" t="str">
        <f>+PAGOS!F8</f>
        <v>No se adelantaron pagos de sentencias durante el segundo semestre de 2021.</v>
      </c>
      <c r="BO3" s="60">
        <f>'Resumen General'!B23</f>
        <v>0</v>
      </c>
    </row>
    <row r="12" spans="1:67">
      <c r="A12" s="60" t="s">
        <v>142</v>
      </c>
      <c r="B12" s="60" t="s">
        <v>10</v>
      </c>
      <c r="C12" s="63" t="s">
        <v>11</v>
      </c>
      <c r="D12" s="63" t="s">
        <v>12</v>
      </c>
      <c r="E12" s="63" t="s">
        <v>13</v>
      </c>
      <c r="F12" s="63" t="s">
        <v>14</v>
      </c>
      <c r="G12" s="63" t="s">
        <v>15</v>
      </c>
    </row>
    <row r="13" spans="1:67">
      <c r="A13" s="60" t="str">
        <f t="shared" ref="A13:A18" si="0">$A$3</f>
        <v>AGENCIA NACIONAL DE MINERIA</v>
      </c>
      <c r="B13" s="60" t="s">
        <v>16</v>
      </c>
      <c r="C13" s="60" t="str">
        <f>USUARIOS!C12</f>
        <v>Si</v>
      </c>
      <c r="D13" s="62">
        <f>USUARIOS!D12</f>
        <v>43717</v>
      </c>
      <c r="E13" s="60" t="str">
        <f>USUARIOS!E12</f>
        <v>ALFREDO LOPEZ RODRIGUEZ</v>
      </c>
      <c r="F13" s="62">
        <f>USUARIOS!F12</f>
        <v>0</v>
      </c>
      <c r="G13" s="60" t="str">
        <f>USUARIOS!G12</f>
        <v>DESACTUALIZADO</v>
      </c>
    </row>
    <row r="14" spans="1:67">
      <c r="A14" s="60" t="str">
        <f t="shared" si="0"/>
        <v>AGENCIA NACIONAL DE MINERIA</v>
      </c>
      <c r="B14" s="60" t="s">
        <v>18</v>
      </c>
      <c r="C14" s="60" t="str">
        <f>USUARIOS!C13</f>
        <v>Si</v>
      </c>
      <c r="D14" s="62">
        <f>USUARIOS!D13</f>
        <v>43717</v>
      </c>
      <c r="E14" s="60" t="str">
        <f>USUARIOS!E13</f>
        <v>JUAN ANTONIO ARAUJO RMERO</v>
      </c>
      <c r="F14" s="62">
        <f>USUARIOS!F13</f>
        <v>0</v>
      </c>
      <c r="G14" s="60" t="str">
        <f>USUARIOS!G13</f>
        <v>DESACTUALIZADO</v>
      </c>
    </row>
    <row r="15" spans="1:67">
      <c r="A15" s="60" t="str">
        <f t="shared" si="0"/>
        <v>AGENCIA NACIONAL DE MINERIA</v>
      </c>
      <c r="B15" s="60" t="s">
        <v>20</v>
      </c>
      <c r="C15" s="60" t="str">
        <f>USUARIOS!C14</f>
        <v>Si</v>
      </c>
      <c r="D15" s="62">
        <f>USUARIOS!D14</f>
        <v>43717</v>
      </c>
      <c r="E15" s="60" t="str">
        <f>USUARIOS!E14</f>
        <v>MARIA STELLA BECERRA FLECHAS</v>
      </c>
      <c r="F15" s="62">
        <f>USUARIOS!F14</f>
        <v>0</v>
      </c>
      <c r="G15" s="60" t="str">
        <f>USUARIOS!G14</f>
        <v>DESACTUALIZADO</v>
      </c>
    </row>
    <row r="16" spans="1:67">
      <c r="A16" s="60" t="str">
        <f t="shared" si="0"/>
        <v>AGENCIA NACIONAL DE MINERIA</v>
      </c>
      <c r="B16" s="60" t="s">
        <v>22</v>
      </c>
      <c r="C16" s="60" t="str">
        <f>USUARIOS!C15</f>
        <v>Si</v>
      </c>
      <c r="D16" s="62">
        <f>USUARIOS!D15</f>
        <v>42198</v>
      </c>
      <c r="E16" s="60" t="str">
        <f>USUARIOS!E15</f>
        <v>ADRIANA ESTELLA GIRALDO RAMIREZ</v>
      </c>
      <c r="F16" s="62">
        <f>USUARIOS!F15</f>
        <v>44614</v>
      </c>
      <c r="G16" s="60" t="str">
        <f>USUARIOS!G15</f>
        <v/>
      </c>
    </row>
    <row r="17" spans="1:7">
      <c r="A17" s="60" t="str">
        <f t="shared" si="0"/>
        <v>AGENCIA NACIONAL DE MINERIA</v>
      </c>
      <c r="B17" s="60" t="s">
        <v>24</v>
      </c>
      <c r="C17" s="60" t="str">
        <f>USUARIOS!C16</f>
        <v>Si</v>
      </c>
      <c r="D17" s="62">
        <f>USUARIOS!D16</f>
        <v>43381</v>
      </c>
      <c r="E17" s="60" t="str">
        <f>USUARIOS!E16</f>
        <v>GEMA MARGARITA ROJAS LOZANO</v>
      </c>
      <c r="F17" s="62">
        <f>USUARIOS!F16</f>
        <v>0</v>
      </c>
      <c r="G17" s="60" t="str">
        <f>USUARIOS!G16</f>
        <v>DESACTUALIZADO</v>
      </c>
    </row>
    <row r="18" spans="1:7">
      <c r="A18" s="60" t="str">
        <f t="shared" si="0"/>
        <v>AGENCIA NACIONAL DE MINERIA</v>
      </c>
      <c r="B18" s="60" t="s">
        <v>26</v>
      </c>
      <c r="C18" s="60" t="str">
        <f>USUARIOS!C17</f>
        <v>No</v>
      </c>
      <c r="D18" s="62">
        <f>USUARIOS!D17</f>
        <v>0</v>
      </c>
      <c r="E18" s="60">
        <f>USUARIOS!E17</f>
        <v>0</v>
      </c>
      <c r="F18" s="62">
        <f>USUARIOS!F17</f>
        <v>0</v>
      </c>
      <c r="G18" s="60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Garzón Peraza</dc:creator>
  <cp:keywords/>
  <dc:description/>
  <cp:lastModifiedBy>Sergio Romero Castro</cp:lastModifiedBy>
  <cp:revision/>
  <dcterms:created xsi:type="dcterms:W3CDTF">2020-06-25T21:16:25Z</dcterms:created>
  <dcterms:modified xsi:type="dcterms:W3CDTF">2022-03-15T18:43:39Z</dcterms:modified>
  <cp:category/>
  <cp:contentStatus/>
</cp:coreProperties>
</file>