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437265\Documents\MTFM\4 GESTIÓN\2 PE - PO\2018\5 POA DEF\V4\"/>
    </mc:Choice>
  </mc:AlternateContent>
  <bookViews>
    <workbookView xWindow="0" yWindow="0" windowWidth="28800" windowHeight="10245"/>
  </bookViews>
  <sheets>
    <sheet name="POA2018 V4" sheetId="1" r:id="rId1"/>
  </sheets>
  <definedNames>
    <definedName name="_xlnm._FilterDatabase" localSheetId="0" hidden="1">'POA2018 V4'!$A$49:$FY$68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24" i="1" l="1"/>
  <c r="X224" i="1"/>
  <c r="W223" i="1"/>
  <c r="W224" i="1" s="1"/>
  <c r="V223" i="1"/>
  <c r="AC223" i="1" s="1"/>
  <c r="M222" i="1"/>
  <c r="AC224" i="1" l="1"/>
  <c r="V224" i="1"/>
  <c r="Z223" i="1"/>
  <c r="Z224" i="1" s="1"/>
  <c r="AA223" i="1"/>
  <c r="AA224" i="1" s="1"/>
  <c r="AB223" i="1"/>
  <c r="AB224" i="1" s="1"/>
  <c r="AC762" i="1" l="1"/>
  <c r="AB762" i="1"/>
  <c r="Y762" i="1"/>
  <c r="X762" i="1"/>
  <c r="Q756" i="1"/>
  <c r="Q753" i="1"/>
  <c r="Q750" i="1"/>
  <c r="AC742" i="1"/>
  <c r="AB742" i="1"/>
  <c r="Y742" i="1"/>
  <c r="X742" i="1"/>
  <c r="Q736" i="1"/>
  <c r="Q733" i="1"/>
  <c r="Q730" i="1"/>
  <c r="V724" i="1"/>
  <c r="Y721" i="1"/>
  <c r="X721" i="1"/>
  <c r="Y720" i="1"/>
  <c r="X720" i="1"/>
  <c r="X719" i="1"/>
  <c r="W719" i="1"/>
  <c r="V719" i="1"/>
  <c r="X716" i="1"/>
  <c r="W716" i="1"/>
  <c r="V716" i="1"/>
  <c r="X715" i="1"/>
  <c r="V714" i="1"/>
  <c r="V721" i="1" s="1"/>
  <c r="W713" i="1"/>
  <c r="W715" i="1" s="1"/>
  <c r="V713" i="1"/>
  <c r="V715" i="1" s="1"/>
  <c r="Y712" i="1"/>
  <c r="Y716" i="1" s="1"/>
  <c r="Y710" i="1"/>
  <c r="AX708" i="1" s="1"/>
  <c r="AX709" i="1" s="1"/>
  <c r="X710" i="1"/>
  <c r="AW708" i="1" s="1"/>
  <c r="AW709" i="1" s="1"/>
  <c r="W710" i="1"/>
  <c r="AV708" i="1" s="1"/>
  <c r="AV709" i="1" s="1"/>
  <c r="V710" i="1"/>
  <c r="AU708" i="1" s="1"/>
  <c r="AU709" i="1" s="1"/>
  <c r="AC709" i="1"/>
  <c r="AB709" i="1"/>
  <c r="AA709" i="1"/>
  <c r="Z709" i="1"/>
  <c r="AD708" i="1"/>
  <c r="AC710" i="1"/>
  <c r="BB708" i="1" s="1"/>
  <c r="BB709" i="1" s="1"/>
  <c r="M708" i="1"/>
  <c r="Y707" i="1"/>
  <c r="AX705" i="1" s="1"/>
  <c r="X707" i="1"/>
  <c r="AW705" i="1" s="1"/>
  <c r="W707" i="1"/>
  <c r="AV705" i="1" s="1"/>
  <c r="V707" i="1"/>
  <c r="AU705" i="1" s="1"/>
  <c r="AB706" i="1"/>
  <c r="AA706" i="1"/>
  <c r="Z706" i="1"/>
  <c r="AD705" i="1"/>
  <c r="AC707" i="1"/>
  <c r="BB705" i="1" s="1"/>
  <c r="M705" i="1"/>
  <c r="Y704" i="1"/>
  <c r="AX702" i="1" s="1"/>
  <c r="X704" i="1"/>
  <c r="AW702" i="1" s="1"/>
  <c r="W704" i="1"/>
  <c r="AV702" i="1" s="1"/>
  <c r="V704" i="1"/>
  <c r="AU702" i="1" s="1"/>
  <c r="AC703" i="1"/>
  <c r="AB703" i="1"/>
  <c r="AB704" i="1" s="1"/>
  <c r="BA702" i="1" s="1"/>
  <c r="Z703" i="1"/>
  <c r="AF702" i="1"/>
  <c r="AD702" i="1" s="1"/>
  <c r="AC704" i="1"/>
  <c r="BB702" i="1" s="1"/>
  <c r="AA704" i="1"/>
  <c r="AZ702" i="1" s="1"/>
  <c r="M702" i="1"/>
  <c r="Y701" i="1"/>
  <c r="AX699" i="1" s="1"/>
  <c r="X701" i="1"/>
  <c r="AW699" i="1" s="1"/>
  <c r="W701" i="1"/>
  <c r="AV699" i="1" s="1"/>
  <c r="AV700" i="1" s="1"/>
  <c r="V701" i="1"/>
  <c r="AU699" i="1" s="1"/>
  <c r="AC700" i="1"/>
  <c r="AB700" i="1"/>
  <c r="AA700" i="1"/>
  <c r="AD699" i="1"/>
  <c r="AC701" i="1"/>
  <c r="BB699" i="1" s="1"/>
  <c r="Z701" i="1"/>
  <c r="AY699" i="1" s="1"/>
  <c r="M699" i="1"/>
  <c r="W698" i="1"/>
  <c r="AV696" i="1" s="1"/>
  <c r="V698" i="1"/>
  <c r="AU696" i="1" s="1"/>
  <c r="AA697" i="1"/>
  <c r="AB697" i="1" s="1"/>
  <c r="AC697" i="1" s="1"/>
  <c r="Z698" i="1"/>
  <c r="AY696" i="1" s="1"/>
  <c r="M696" i="1"/>
  <c r="Y695" i="1"/>
  <c r="AX693" i="1" s="1"/>
  <c r="X695" i="1"/>
  <c r="AW693" i="1" s="1"/>
  <c r="W695" i="1"/>
  <c r="AV693" i="1" s="1"/>
  <c r="V695" i="1"/>
  <c r="AU693" i="1" s="1"/>
  <c r="AC694" i="1"/>
  <c r="AA694" i="1"/>
  <c r="AB695" i="1"/>
  <c r="BA693" i="1" s="1"/>
  <c r="Z695" i="1"/>
  <c r="AY693" i="1" s="1"/>
  <c r="M693" i="1"/>
  <c r="Y692" i="1"/>
  <c r="AX690" i="1" s="1"/>
  <c r="X692" i="1"/>
  <c r="AW690" i="1" s="1"/>
  <c r="W692" i="1"/>
  <c r="AV690" i="1" s="1"/>
  <c r="V692" i="1"/>
  <c r="AU690" i="1" s="1"/>
  <c r="Z691" i="1"/>
  <c r="Z692" i="1" s="1"/>
  <c r="AY690" i="1" s="1"/>
  <c r="AC692" i="1"/>
  <c r="BB690" i="1" s="1"/>
  <c r="AB692" i="1"/>
  <c r="BA690" i="1" s="1"/>
  <c r="AA692" i="1"/>
  <c r="AZ690" i="1" s="1"/>
  <c r="M690" i="1"/>
  <c r="Y689" i="1"/>
  <c r="AX687" i="1" s="1"/>
  <c r="X689" i="1"/>
  <c r="AW687" i="1" s="1"/>
  <c r="W689" i="1"/>
  <c r="AV687" i="1" s="1"/>
  <c r="V689" i="1"/>
  <c r="AU687" i="1" s="1"/>
  <c r="AC688" i="1"/>
  <c r="AB688" i="1"/>
  <c r="AA688" i="1"/>
  <c r="Z688" i="1"/>
  <c r="M687" i="1"/>
  <c r="Y686" i="1"/>
  <c r="AX684" i="1" s="1"/>
  <c r="X686" i="1"/>
  <c r="AW684" i="1" s="1"/>
  <c r="W686" i="1"/>
  <c r="AV684" i="1" s="1"/>
  <c r="V686" i="1"/>
  <c r="AU684" i="1" s="1"/>
  <c r="AC685" i="1"/>
  <c r="AB685" i="1"/>
  <c r="AA685" i="1"/>
  <c r="Z686" i="1"/>
  <c r="AY684" i="1" s="1"/>
  <c r="M684" i="1"/>
  <c r="Y674" i="1"/>
  <c r="X674" i="1"/>
  <c r="W674" i="1"/>
  <c r="V674" i="1"/>
  <c r="Y673" i="1"/>
  <c r="X673" i="1"/>
  <c r="W673" i="1"/>
  <c r="V673" i="1"/>
  <c r="AS669" i="1"/>
  <c r="AR669" i="1"/>
  <c r="AQ669" i="1"/>
  <c r="AP669" i="1"/>
  <c r="AO669" i="1"/>
  <c r="AN669" i="1"/>
  <c r="AM669" i="1"/>
  <c r="AM711" i="1" s="1"/>
  <c r="AL669" i="1"/>
  <c r="AL711" i="1" s="1"/>
  <c r="AK669" i="1"/>
  <c r="AK711" i="1" s="1"/>
  <c r="AJ669" i="1"/>
  <c r="AJ711" i="1" s="1"/>
  <c r="Y668" i="1"/>
  <c r="AX666" i="1" s="1"/>
  <c r="AX667" i="1" s="1"/>
  <c r="X668" i="1"/>
  <c r="AW666" i="1" s="1"/>
  <c r="AW667" i="1" s="1"/>
  <c r="W668" i="1"/>
  <c r="AV666" i="1" s="1"/>
  <c r="AV667" i="1" s="1"/>
  <c r="V668" i="1"/>
  <c r="AU666" i="1" s="1"/>
  <c r="AU667" i="1" s="1"/>
  <c r="AD666" i="1"/>
  <c r="AC668" i="1"/>
  <c r="BB666" i="1" s="1"/>
  <c r="BB667" i="1" s="1"/>
  <c r="AB668" i="1"/>
  <c r="BA666" i="1" s="1"/>
  <c r="BA667" i="1" s="1"/>
  <c r="AA668" i="1"/>
  <c r="AZ666" i="1" s="1"/>
  <c r="AZ667" i="1" s="1"/>
  <c r="Z668" i="1"/>
  <c r="AY666" i="1" s="1"/>
  <c r="AY667" i="1" s="1"/>
  <c r="Y665" i="1"/>
  <c r="AX663" i="1" s="1"/>
  <c r="AX664" i="1" s="1"/>
  <c r="X665" i="1"/>
  <c r="AW663" i="1" s="1"/>
  <c r="AW664" i="1" s="1"/>
  <c r="AW665" i="1" s="1"/>
  <c r="AW669" i="1" s="1"/>
  <c r="W665" i="1"/>
  <c r="AV663" i="1" s="1"/>
  <c r="AV664" i="1" s="1"/>
  <c r="V665" i="1"/>
  <c r="AU663" i="1" s="1"/>
  <c r="AU664" i="1" s="1"/>
  <c r="AD663" i="1"/>
  <c r="AC665" i="1"/>
  <c r="BB663" i="1" s="1"/>
  <c r="BB664" i="1" s="1"/>
  <c r="BB665" i="1" s="1"/>
  <c r="AB665" i="1"/>
  <c r="BA663" i="1" s="1"/>
  <c r="BA664" i="1" s="1"/>
  <c r="AA665" i="1"/>
  <c r="AZ663" i="1" s="1"/>
  <c r="AZ664" i="1" s="1"/>
  <c r="AZ665" i="1" s="1"/>
  <c r="AZ669" i="1" s="1"/>
  <c r="Z665" i="1"/>
  <c r="AY663" i="1" s="1"/>
  <c r="AY664" i="1" s="1"/>
  <c r="X655" i="1"/>
  <c r="W655" i="1"/>
  <c r="V655" i="1"/>
  <c r="X654" i="1"/>
  <c r="V654" i="1"/>
  <c r="W652" i="1"/>
  <c r="W654" i="1" s="1"/>
  <c r="Y651" i="1"/>
  <c r="Y655" i="1" s="1"/>
  <c r="AS650" i="1"/>
  <c r="AR650" i="1"/>
  <c r="AQ650" i="1"/>
  <c r="AP650" i="1"/>
  <c r="AO650" i="1"/>
  <c r="AN650" i="1"/>
  <c r="AM650" i="1"/>
  <c r="AL650" i="1"/>
  <c r="AK650" i="1"/>
  <c r="AJ650" i="1"/>
  <c r="AC649" i="1"/>
  <c r="BB647" i="1" s="1"/>
  <c r="BB648" i="1" s="1"/>
  <c r="Y649" i="1"/>
  <c r="AX647" i="1" s="1"/>
  <c r="AX648" i="1" s="1"/>
  <c r="X649" i="1"/>
  <c r="AW647" i="1" s="1"/>
  <c r="AW648" i="1" s="1"/>
  <c r="W649" i="1"/>
  <c r="AV647" i="1" s="1"/>
  <c r="AV648" i="1" s="1"/>
  <c r="V649" i="1"/>
  <c r="AU647" i="1" s="1"/>
  <c r="AU648" i="1" s="1"/>
  <c r="AC648" i="1"/>
  <c r="AB648" i="1"/>
  <c r="AA648" i="1"/>
  <c r="Z648" i="1"/>
  <c r="M647" i="1"/>
  <c r="Y646" i="1"/>
  <c r="AX644" i="1" s="1"/>
  <c r="AX645" i="1" s="1"/>
  <c r="X646" i="1"/>
  <c r="AW644" i="1" s="1"/>
  <c r="AW645" i="1" s="1"/>
  <c r="W646" i="1"/>
  <c r="AV644" i="1" s="1"/>
  <c r="AV645" i="1" s="1"/>
  <c r="V646" i="1"/>
  <c r="AU644" i="1" s="1"/>
  <c r="AU645" i="1" s="1"/>
  <c r="AC645" i="1"/>
  <c r="AB645" i="1"/>
  <c r="AA645" i="1"/>
  <c r="Z645" i="1"/>
  <c r="M644" i="1"/>
  <c r="Y643" i="1"/>
  <c r="AX641" i="1" s="1"/>
  <c r="AX642" i="1" s="1"/>
  <c r="X643" i="1"/>
  <c r="AW641" i="1" s="1"/>
  <c r="AW642" i="1" s="1"/>
  <c r="W643" i="1"/>
  <c r="AV641" i="1" s="1"/>
  <c r="AV642" i="1" s="1"/>
  <c r="V643" i="1"/>
  <c r="AU641" i="1" s="1"/>
  <c r="AU642" i="1" s="1"/>
  <c r="AC642" i="1"/>
  <c r="AB642" i="1"/>
  <c r="AA642" i="1"/>
  <c r="Z642" i="1"/>
  <c r="AD641" i="1"/>
  <c r="M641" i="1"/>
  <c r="Y640" i="1"/>
  <c r="AX638" i="1" s="1"/>
  <c r="AX639" i="1" s="1"/>
  <c r="X640" i="1"/>
  <c r="AW638" i="1" s="1"/>
  <c r="AW639" i="1" s="1"/>
  <c r="W640" i="1"/>
  <c r="AV638" i="1" s="1"/>
  <c r="AV639" i="1" s="1"/>
  <c r="V640" i="1"/>
  <c r="AU638" i="1" s="1"/>
  <c r="AU639" i="1" s="1"/>
  <c r="AC639" i="1"/>
  <c r="AA639" i="1"/>
  <c r="AB640" i="1"/>
  <c r="BA638" i="1" s="1"/>
  <c r="BA639" i="1" s="1"/>
  <c r="Z640" i="1"/>
  <c r="AY638" i="1" s="1"/>
  <c r="AY639" i="1" s="1"/>
  <c r="M638" i="1"/>
  <c r="Y637" i="1"/>
  <c r="AX635" i="1" s="1"/>
  <c r="AX636" i="1" s="1"/>
  <c r="X637" i="1"/>
  <c r="AW635" i="1" s="1"/>
  <c r="AW636" i="1" s="1"/>
  <c r="W637" i="1"/>
  <c r="AV635" i="1" s="1"/>
  <c r="AV636" i="1" s="1"/>
  <c r="V637" i="1"/>
  <c r="AU635" i="1" s="1"/>
  <c r="AU636" i="1" s="1"/>
  <c r="AC636" i="1"/>
  <c r="AC637" i="1" s="1"/>
  <c r="BB635" i="1" s="1"/>
  <c r="BB636" i="1" s="1"/>
  <c r="AA636" i="1"/>
  <c r="AB637" i="1"/>
  <c r="BA635" i="1" s="1"/>
  <c r="BA636" i="1" s="1"/>
  <c r="Z637" i="1"/>
  <c r="AY635" i="1" s="1"/>
  <c r="AY636" i="1" s="1"/>
  <c r="M635" i="1"/>
  <c r="Y634" i="1"/>
  <c r="AX632" i="1" s="1"/>
  <c r="AX633" i="1" s="1"/>
  <c r="X634" i="1"/>
  <c r="AW632" i="1" s="1"/>
  <c r="AW633" i="1" s="1"/>
  <c r="W634" i="1"/>
  <c r="AV632" i="1" s="1"/>
  <c r="AV633" i="1" s="1"/>
  <c r="V634" i="1"/>
  <c r="AU632" i="1" s="1"/>
  <c r="AU633" i="1" s="1"/>
  <c r="AC633" i="1"/>
  <c r="AA633" i="1"/>
  <c r="AB634" i="1"/>
  <c r="BA632" i="1" s="1"/>
  <c r="BA633" i="1" s="1"/>
  <c r="Z634" i="1"/>
  <c r="AY632" i="1" s="1"/>
  <c r="AY633" i="1" s="1"/>
  <c r="M632" i="1"/>
  <c r="Y631" i="1"/>
  <c r="AX629" i="1" s="1"/>
  <c r="AX630" i="1" s="1"/>
  <c r="X631" i="1"/>
  <c r="AW629" i="1" s="1"/>
  <c r="AW630" i="1" s="1"/>
  <c r="W631" i="1"/>
  <c r="AV629" i="1" s="1"/>
  <c r="AV630" i="1" s="1"/>
  <c r="V631" i="1"/>
  <c r="AU629" i="1" s="1"/>
  <c r="AU630" i="1" s="1"/>
  <c r="AC630" i="1"/>
  <c r="AA630" i="1"/>
  <c r="AD629" i="1"/>
  <c r="AB631" i="1"/>
  <c r="BA629" i="1" s="1"/>
  <c r="BA630" i="1" s="1"/>
  <c r="Z631" i="1"/>
  <c r="AY629" i="1" s="1"/>
  <c r="AY630" i="1" s="1"/>
  <c r="M629" i="1"/>
  <c r="W622" i="1"/>
  <c r="X621" i="1"/>
  <c r="W621" i="1"/>
  <c r="V621" i="1"/>
  <c r="X620" i="1"/>
  <c r="W618" i="1"/>
  <c r="W620" i="1" s="1"/>
  <c r="V618" i="1"/>
  <c r="V620" i="1" s="1"/>
  <c r="Y617" i="1"/>
  <c r="Y621" i="1" s="1"/>
  <c r="AS616" i="1"/>
  <c r="AR616" i="1"/>
  <c r="AP616" i="1"/>
  <c r="AO616" i="1"/>
  <c r="AN616" i="1"/>
  <c r="AM616" i="1"/>
  <c r="AL616" i="1"/>
  <c r="AK616" i="1"/>
  <c r="AJ616" i="1"/>
  <c r="Y615" i="1"/>
  <c r="AX613" i="1" s="1"/>
  <c r="AX614" i="1" s="1"/>
  <c r="X615" i="1"/>
  <c r="AW613" i="1" s="1"/>
  <c r="AW614" i="1" s="1"/>
  <c r="W615" i="1"/>
  <c r="AV613" i="1" s="1"/>
  <c r="AV614" i="1" s="1"/>
  <c r="V615" i="1"/>
  <c r="AU613" i="1" s="1"/>
  <c r="AU614" i="1" s="1"/>
  <c r="AC614" i="1"/>
  <c r="AB614" i="1"/>
  <c r="AA614" i="1"/>
  <c r="Z614" i="1"/>
  <c r="AD613" i="1"/>
  <c r="M613" i="1"/>
  <c r="Y612" i="1"/>
  <c r="AX610" i="1" s="1"/>
  <c r="AX611" i="1" s="1"/>
  <c r="X612" i="1"/>
  <c r="AW610" i="1" s="1"/>
  <c r="AW611" i="1" s="1"/>
  <c r="W612" i="1"/>
  <c r="AV610" i="1" s="1"/>
  <c r="AV611" i="1" s="1"/>
  <c r="V612" i="1"/>
  <c r="AU610" i="1" s="1"/>
  <c r="AU611" i="1" s="1"/>
  <c r="AD610" i="1"/>
  <c r="AC612" i="1"/>
  <c r="BB610" i="1" s="1"/>
  <c r="BB611" i="1" s="1"/>
  <c r="AB612" i="1"/>
  <c r="BA610" i="1" s="1"/>
  <c r="BA611" i="1" s="1"/>
  <c r="AA612" i="1"/>
  <c r="AZ610" i="1" s="1"/>
  <c r="AZ611" i="1" s="1"/>
  <c r="Z612" i="1"/>
  <c r="AY610" i="1" s="1"/>
  <c r="AY611" i="1" s="1"/>
  <c r="M610" i="1"/>
  <c r="Y609" i="1"/>
  <c r="AX607" i="1" s="1"/>
  <c r="AX608" i="1" s="1"/>
  <c r="X609" i="1"/>
  <c r="AW607" i="1" s="1"/>
  <c r="AW608" i="1" s="1"/>
  <c r="W609" i="1"/>
  <c r="AV607" i="1" s="1"/>
  <c r="AV608" i="1" s="1"/>
  <c r="V609" i="1"/>
  <c r="AU607" i="1" s="1"/>
  <c r="AU608" i="1" s="1"/>
  <c r="AD607" i="1"/>
  <c r="AB609" i="1"/>
  <c r="BA607" i="1" s="1"/>
  <c r="BA608" i="1" s="1"/>
  <c r="AA609" i="1"/>
  <c r="AZ607" i="1" s="1"/>
  <c r="AZ608" i="1" s="1"/>
  <c r="Z609" i="1"/>
  <c r="AY607" i="1" s="1"/>
  <c r="AY608" i="1" s="1"/>
  <c r="M607" i="1"/>
  <c r="AB606" i="1"/>
  <c r="AA606" i="1"/>
  <c r="Z606" i="1"/>
  <c r="X606" i="1"/>
  <c r="W606" i="1"/>
  <c r="V606" i="1"/>
  <c r="AC605" i="1"/>
  <c r="M604" i="1"/>
  <c r="AB603" i="1"/>
  <c r="AA603" i="1"/>
  <c r="Z603" i="1"/>
  <c r="X603" i="1"/>
  <c r="W603" i="1"/>
  <c r="V603" i="1"/>
  <c r="AC602" i="1"/>
  <c r="M601" i="1"/>
  <c r="X600" i="1"/>
  <c r="W600" i="1"/>
  <c r="V600" i="1"/>
  <c r="M598" i="1"/>
  <c r="Y597" i="1"/>
  <c r="AX595" i="1" s="1"/>
  <c r="AX596" i="1" s="1"/>
  <c r="X597" i="1"/>
  <c r="AW595" i="1" s="1"/>
  <c r="AW596" i="1" s="1"/>
  <c r="W597" i="1"/>
  <c r="AV595" i="1" s="1"/>
  <c r="AV596" i="1" s="1"/>
  <c r="V597" i="1"/>
  <c r="AU595" i="1" s="1"/>
  <c r="AU596" i="1" s="1"/>
  <c r="AD595" i="1"/>
  <c r="AC597" i="1"/>
  <c r="BB595" i="1" s="1"/>
  <c r="BB596" i="1" s="1"/>
  <c r="AB597" i="1"/>
  <c r="BA595" i="1" s="1"/>
  <c r="BA596" i="1" s="1"/>
  <c r="AA597" i="1"/>
  <c r="AZ595" i="1" s="1"/>
  <c r="AZ596" i="1" s="1"/>
  <c r="Z597" i="1"/>
  <c r="AY595" i="1" s="1"/>
  <c r="AY596" i="1" s="1"/>
  <c r="M595" i="1"/>
  <c r="Y594" i="1"/>
  <c r="AX592" i="1" s="1"/>
  <c r="AX593" i="1" s="1"/>
  <c r="X594" i="1"/>
  <c r="AW592" i="1" s="1"/>
  <c r="AW593" i="1" s="1"/>
  <c r="W594" i="1"/>
  <c r="AV592" i="1" s="1"/>
  <c r="AV593" i="1" s="1"/>
  <c r="V594" i="1"/>
  <c r="AU592" i="1" s="1"/>
  <c r="AU593" i="1" s="1"/>
  <c r="AD592" i="1"/>
  <c r="AC594" i="1"/>
  <c r="BB592" i="1" s="1"/>
  <c r="BB593" i="1" s="1"/>
  <c r="AB594" i="1"/>
  <c r="BA592" i="1" s="1"/>
  <c r="BA593" i="1" s="1"/>
  <c r="AA594" i="1"/>
  <c r="AZ592" i="1" s="1"/>
  <c r="AZ593" i="1" s="1"/>
  <c r="Z594" i="1"/>
  <c r="AY592" i="1" s="1"/>
  <c r="AY593" i="1" s="1"/>
  <c r="M592" i="1"/>
  <c r="M589" i="1"/>
  <c r="AC588" i="1"/>
  <c r="M586" i="1"/>
  <c r="Y585" i="1"/>
  <c r="AX583" i="1" s="1"/>
  <c r="AX584" i="1" s="1"/>
  <c r="X585" i="1"/>
  <c r="AW583" i="1" s="1"/>
  <c r="AW584" i="1" s="1"/>
  <c r="W585" i="1"/>
  <c r="AV583" i="1" s="1"/>
  <c r="AV584" i="1" s="1"/>
  <c r="V585" i="1"/>
  <c r="AU583" i="1" s="1"/>
  <c r="AU584" i="1" s="1"/>
  <c r="AC584" i="1"/>
  <c r="AD583" i="1"/>
  <c r="AA585" i="1"/>
  <c r="AZ583" i="1" s="1"/>
  <c r="AZ584" i="1" s="1"/>
  <c r="Z585" i="1"/>
  <c r="AY583" i="1" s="1"/>
  <c r="AY584" i="1" s="1"/>
  <c r="M583" i="1"/>
  <c r="Y582" i="1"/>
  <c r="AX580" i="1" s="1"/>
  <c r="AX581" i="1" s="1"/>
  <c r="X582" i="1"/>
  <c r="AW580" i="1" s="1"/>
  <c r="AW581" i="1" s="1"/>
  <c r="W582" i="1"/>
  <c r="AV580" i="1" s="1"/>
  <c r="AV581" i="1" s="1"/>
  <c r="V582" i="1"/>
  <c r="AU580" i="1" s="1"/>
  <c r="AU581" i="1" s="1"/>
  <c r="AD580" i="1"/>
  <c r="AC582" i="1"/>
  <c r="BB580" i="1" s="1"/>
  <c r="BB581" i="1" s="1"/>
  <c r="AB582" i="1"/>
  <c r="BA580" i="1" s="1"/>
  <c r="BA581" i="1" s="1"/>
  <c r="AA582" i="1"/>
  <c r="AZ580" i="1" s="1"/>
  <c r="AZ581" i="1" s="1"/>
  <c r="Z582" i="1"/>
  <c r="AY580" i="1" s="1"/>
  <c r="AY581" i="1" s="1"/>
  <c r="M580" i="1"/>
  <c r="X579" i="1"/>
  <c r="W579" i="1"/>
  <c r="V579" i="1"/>
  <c r="M577" i="1"/>
  <c r="AC576" i="1"/>
  <c r="X576" i="1"/>
  <c r="W576" i="1"/>
  <c r="V576" i="1"/>
  <c r="M574" i="1"/>
  <c r="Y573" i="1"/>
  <c r="AX571" i="1" s="1"/>
  <c r="AX572" i="1" s="1"/>
  <c r="X573" i="1"/>
  <c r="AW571" i="1" s="1"/>
  <c r="AW572" i="1" s="1"/>
  <c r="W573" i="1"/>
  <c r="AV571" i="1" s="1"/>
  <c r="AV572" i="1" s="1"/>
  <c r="V573" i="1"/>
  <c r="AU571" i="1" s="1"/>
  <c r="AU572" i="1" s="1"/>
  <c r="AD571" i="1"/>
  <c r="AC573" i="1"/>
  <c r="BB571" i="1" s="1"/>
  <c r="BB572" i="1" s="1"/>
  <c r="AB573" i="1"/>
  <c r="BA571" i="1" s="1"/>
  <c r="BA572" i="1" s="1"/>
  <c r="AA573" i="1"/>
  <c r="AZ571" i="1" s="1"/>
  <c r="AZ572" i="1" s="1"/>
  <c r="Z573" i="1"/>
  <c r="AY571" i="1" s="1"/>
  <c r="AY572" i="1" s="1"/>
  <c r="M571" i="1"/>
  <c r="Y570" i="1"/>
  <c r="AX568" i="1" s="1"/>
  <c r="X570" i="1"/>
  <c r="AW568" i="1" s="1"/>
  <c r="W570" i="1"/>
  <c r="AV568" i="1" s="1"/>
  <c r="V570" i="1"/>
  <c r="AU568" i="1" s="1"/>
  <c r="AC570" i="1"/>
  <c r="BB568" i="1" s="1"/>
  <c r="AB570" i="1"/>
  <c r="BA568" i="1" s="1"/>
  <c r="AA570" i="1"/>
  <c r="AZ568" i="1" s="1"/>
  <c r="Z570" i="1"/>
  <c r="AY568" i="1" s="1"/>
  <c r="Y567" i="1"/>
  <c r="AX565" i="1" s="1"/>
  <c r="X567" i="1"/>
  <c r="AW565" i="1" s="1"/>
  <c r="W567" i="1"/>
  <c r="AV565" i="1" s="1"/>
  <c r="V567" i="1"/>
  <c r="AU565" i="1" s="1"/>
  <c r="AC566" i="1"/>
  <c r="AB566" i="1"/>
  <c r="AA566" i="1"/>
  <c r="Z566" i="1"/>
  <c r="M565" i="1"/>
  <c r="AC564" i="1"/>
  <c r="BB562" i="1" s="1"/>
  <c r="AB564" i="1"/>
  <c r="BA562" i="1" s="1"/>
  <c r="AA564" i="1"/>
  <c r="AZ562" i="1" s="1"/>
  <c r="Z564" i="1"/>
  <c r="AY562" i="1" s="1"/>
  <c r="Y564" i="1"/>
  <c r="AX562" i="1" s="1"/>
  <c r="X564" i="1"/>
  <c r="AW562" i="1" s="1"/>
  <c r="W564" i="1"/>
  <c r="AV562" i="1" s="1"/>
  <c r="V564" i="1"/>
  <c r="AU562" i="1" s="1"/>
  <c r="M562" i="1"/>
  <c r="Y561" i="1"/>
  <c r="AX559" i="1" s="1"/>
  <c r="X561" i="1"/>
  <c r="AW559" i="1" s="1"/>
  <c r="W561" i="1"/>
  <c r="AV559" i="1" s="1"/>
  <c r="V561" i="1"/>
  <c r="AU559" i="1" s="1"/>
  <c r="AC560" i="1"/>
  <c r="AB560" i="1"/>
  <c r="AA560" i="1"/>
  <c r="Z560" i="1"/>
  <c r="M559" i="1"/>
  <c r="Y558" i="1"/>
  <c r="AX556" i="1" s="1"/>
  <c r="X558" i="1"/>
  <c r="AW556" i="1" s="1"/>
  <c r="W558" i="1"/>
  <c r="AV556" i="1" s="1"/>
  <c r="V558" i="1"/>
  <c r="AU556" i="1" s="1"/>
  <c r="AC557" i="1"/>
  <c r="AB557" i="1"/>
  <c r="AA557" i="1"/>
  <c r="Z557" i="1"/>
  <c r="AB558" i="1"/>
  <c r="BA556" i="1" s="1"/>
  <c r="M556" i="1"/>
  <c r="Y555" i="1"/>
  <c r="AX553" i="1" s="1"/>
  <c r="X555" i="1"/>
  <c r="AW553" i="1" s="1"/>
  <c r="W555" i="1"/>
  <c r="AV553" i="1" s="1"/>
  <c r="V555" i="1"/>
  <c r="AU553" i="1" s="1"/>
  <c r="AC554" i="1"/>
  <c r="AB554" i="1"/>
  <c r="AA554" i="1"/>
  <c r="Z554" i="1"/>
  <c r="M553" i="1"/>
  <c r="Y552" i="1"/>
  <c r="AX550" i="1" s="1"/>
  <c r="X552" i="1"/>
  <c r="AW550" i="1" s="1"/>
  <c r="W552" i="1"/>
  <c r="AV550" i="1" s="1"/>
  <c r="V552" i="1"/>
  <c r="AU550" i="1" s="1"/>
  <c r="AC551" i="1"/>
  <c r="AB551" i="1"/>
  <c r="AA551" i="1"/>
  <c r="Z551" i="1"/>
  <c r="AD550" i="1"/>
  <c r="AC552" i="1"/>
  <c r="BB550" i="1" s="1"/>
  <c r="AA552" i="1"/>
  <c r="AZ550" i="1" s="1"/>
  <c r="M550" i="1"/>
  <c r="X542" i="1"/>
  <c r="W542" i="1"/>
  <c r="V542" i="1"/>
  <c r="X541" i="1"/>
  <c r="W541" i="1"/>
  <c r="V541" i="1"/>
  <c r="Y538" i="1"/>
  <c r="Y542" i="1" s="1"/>
  <c r="AS537" i="1"/>
  <c r="AR537" i="1"/>
  <c r="AQ537" i="1"/>
  <c r="AP537" i="1"/>
  <c r="AO537" i="1"/>
  <c r="AN537" i="1"/>
  <c r="AM537" i="1"/>
  <c r="AL537" i="1"/>
  <c r="AK537" i="1"/>
  <c r="AJ537" i="1"/>
  <c r="Y536" i="1"/>
  <c r="AX534" i="1" s="1"/>
  <c r="AX535" i="1" s="1"/>
  <c r="W536" i="1"/>
  <c r="AV534" i="1" s="1"/>
  <c r="AV535" i="1" s="1"/>
  <c r="V536" i="1"/>
  <c r="AU534" i="1" s="1"/>
  <c r="AU535" i="1" s="1"/>
  <c r="AC535" i="1"/>
  <c r="AA535" i="1"/>
  <c r="AB536" i="1"/>
  <c r="BA534" i="1" s="1"/>
  <c r="BA535" i="1" s="1"/>
  <c r="Z536" i="1"/>
  <c r="AY534" i="1" s="1"/>
  <c r="AY535" i="1" s="1"/>
  <c r="X536" i="1"/>
  <c r="AW534" i="1" s="1"/>
  <c r="AW535" i="1" s="1"/>
  <c r="M534" i="1"/>
  <c r="Y533" i="1"/>
  <c r="AX531" i="1" s="1"/>
  <c r="AX532" i="1" s="1"/>
  <c r="AX533" i="1" s="1"/>
  <c r="X533" i="1"/>
  <c r="AW531" i="1" s="1"/>
  <c r="W533" i="1"/>
  <c r="AV531" i="1" s="1"/>
  <c r="V533" i="1"/>
  <c r="AU531" i="1" s="1"/>
  <c r="AC533" i="1"/>
  <c r="BB531" i="1" s="1"/>
  <c r="AB533" i="1"/>
  <c r="BA531" i="1" s="1"/>
  <c r="AA533" i="1"/>
  <c r="AZ531" i="1" s="1"/>
  <c r="Z533" i="1"/>
  <c r="AY531" i="1" s="1"/>
  <c r="AY532" i="1" s="1"/>
  <c r="AY533" i="1" s="1"/>
  <c r="M531" i="1"/>
  <c r="Y530" i="1"/>
  <c r="AX528" i="1" s="1"/>
  <c r="AX529" i="1" s="1"/>
  <c r="X530" i="1"/>
  <c r="AW528" i="1" s="1"/>
  <c r="AW529" i="1" s="1"/>
  <c r="W530" i="1"/>
  <c r="AV528" i="1" s="1"/>
  <c r="AV529" i="1" s="1"/>
  <c r="V530" i="1"/>
  <c r="AU528" i="1" s="1"/>
  <c r="AU529" i="1" s="1"/>
  <c r="AC529" i="1"/>
  <c r="AB529" i="1"/>
  <c r="Z529" i="1"/>
  <c r="AA529" i="1" s="1"/>
  <c r="M528" i="1"/>
  <c r="Y527" i="1"/>
  <c r="AX525" i="1" s="1"/>
  <c r="X527" i="1"/>
  <c r="AW525" i="1" s="1"/>
  <c r="W527" i="1"/>
  <c r="AV525" i="1" s="1"/>
  <c r="V527" i="1"/>
  <c r="AU525" i="1" s="1"/>
  <c r="AC526" i="1"/>
  <c r="AB526" i="1"/>
  <c r="AA526" i="1"/>
  <c r="Z526" i="1"/>
  <c r="M525" i="1"/>
  <c r="Y524" i="1"/>
  <c r="AX522" i="1" s="1"/>
  <c r="W524" i="1"/>
  <c r="AV522" i="1" s="1"/>
  <c r="V524" i="1"/>
  <c r="AU522" i="1" s="1"/>
  <c r="AC523" i="1"/>
  <c r="AA523" i="1"/>
  <c r="Z523" i="1"/>
  <c r="X523" i="1"/>
  <c r="AB523" i="1" s="1"/>
  <c r="M522" i="1"/>
  <c r="Y521" i="1"/>
  <c r="AX519" i="1" s="1"/>
  <c r="X521" i="1"/>
  <c r="AW519" i="1" s="1"/>
  <c r="W521" i="1"/>
  <c r="AV519" i="1" s="1"/>
  <c r="V521" i="1"/>
  <c r="AU519" i="1" s="1"/>
  <c r="AC520" i="1"/>
  <c r="AB520" i="1"/>
  <c r="AA520" i="1"/>
  <c r="Z520" i="1"/>
  <c r="Z521" i="1" s="1"/>
  <c r="AY519" i="1" s="1"/>
  <c r="M519" i="1"/>
  <c r="X518" i="1"/>
  <c r="AW516" i="1" s="1"/>
  <c r="AW517" i="1" s="1"/>
  <c r="W518" i="1"/>
  <c r="AV516" i="1" s="1"/>
  <c r="AV517" i="1" s="1"/>
  <c r="V518" i="1"/>
  <c r="AU516" i="1" s="1"/>
  <c r="AU517" i="1" s="1"/>
  <c r="AB517" i="1"/>
  <c r="AA517" i="1"/>
  <c r="Y517" i="1"/>
  <c r="AC517" i="1" s="1"/>
  <c r="Z518" i="1"/>
  <c r="AY516" i="1" s="1"/>
  <c r="AY517" i="1" s="1"/>
  <c r="Y515" i="1"/>
  <c r="X515" i="1"/>
  <c r="W515" i="1"/>
  <c r="V515" i="1"/>
  <c r="AC514" i="1"/>
  <c r="AB514" i="1"/>
  <c r="AA514" i="1"/>
  <c r="Z515" i="1"/>
  <c r="Y512" i="1"/>
  <c r="AX510" i="1" s="1"/>
  <c r="X512" i="1"/>
  <c r="AW510" i="1" s="1"/>
  <c r="W512" i="1"/>
  <c r="AV510" i="1" s="1"/>
  <c r="V512" i="1"/>
  <c r="AU510" i="1" s="1"/>
  <c r="AC511" i="1"/>
  <c r="AB511" i="1"/>
  <c r="AA511" i="1"/>
  <c r="Z511" i="1"/>
  <c r="M510" i="1"/>
  <c r="Y509" i="1"/>
  <c r="X509" i="1"/>
  <c r="W509" i="1"/>
  <c r="V509" i="1"/>
  <c r="AC508" i="1"/>
  <c r="AB508" i="1"/>
  <c r="AA508" i="1"/>
  <c r="Z509" i="1"/>
  <c r="Y506" i="1"/>
  <c r="X506" i="1"/>
  <c r="W506" i="1"/>
  <c r="V506" i="1"/>
  <c r="AC505" i="1"/>
  <c r="AB505" i="1"/>
  <c r="AA505" i="1"/>
  <c r="AB506" i="1"/>
  <c r="Z506" i="1"/>
  <c r="Z503" i="1"/>
  <c r="Y503" i="1"/>
  <c r="X503" i="1"/>
  <c r="W503" i="1"/>
  <c r="V503" i="1"/>
  <c r="AC502" i="1"/>
  <c r="AB502" i="1"/>
  <c r="AA502" i="1"/>
  <c r="Y500" i="1"/>
  <c r="AX498" i="1" s="1"/>
  <c r="X500" i="1"/>
  <c r="AW498" i="1" s="1"/>
  <c r="W500" i="1"/>
  <c r="AV498" i="1" s="1"/>
  <c r="V500" i="1"/>
  <c r="AU498" i="1" s="1"/>
  <c r="AC499" i="1"/>
  <c r="AB499" i="1"/>
  <c r="AA499" i="1"/>
  <c r="Z499" i="1"/>
  <c r="Z500" i="1"/>
  <c r="AY498" i="1" s="1"/>
  <c r="Q498" i="1"/>
  <c r="M498" i="1"/>
  <c r="Y497" i="1"/>
  <c r="AX495" i="1" s="1"/>
  <c r="X497" i="1"/>
  <c r="AW495" i="1" s="1"/>
  <c r="W497" i="1"/>
  <c r="AV495" i="1" s="1"/>
  <c r="V497" i="1"/>
  <c r="AU495" i="1" s="1"/>
  <c r="AC496" i="1"/>
  <c r="AB496" i="1"/>
  <c r="AA496" i="1"/>
  <c r="Z496" i="1"/>
  <c r="Q495" i="1"/>
  <c r="M495" i="1"/>
  <c r="Y494" i="1"/>
  <c r="AX492" i="1" s="1"/>
  <c r="X494" i="1"/>
  <c r="AW492" i="1" s="1"/>
  <c r="W494" i="1"/>
  <c r="AV492" i="1" s="1"/>
  <c r="V494" i="1"/>
  <c r="AU492" i="1" s="1"/>
  <c r="AC493" i="1"/>
  <c r="AB493" i="1"/>
  <c r="AB494" i="1" s="1"/>
  <c r="BA492" i="1" s="1"/>
  <c r="AA493" i="1"/>
  <c r="Z493" i="1"/>
  <c r="Z494" i="1" s="1"/>
  <c r="AY492" i="1" s="1"/>
  <c r="AA494" i="1"/>
  <c r="AZ492" i="1" s="1"/>
  <c r="Q492" i="1"/>
  <c r="M492" i="1"/>
  <c r="Y491" i="1"/>
  <c r="AX489" i="1" s="1"/>
  <c r="X491" i="1"/>
  <c r="AW489" i="1" s="1"/>
  <c r="W491" i="1"/>
  <c r="AV489" i="1" s="1"/>
  <c r="V491" i="1"/>
  <c r="AU489" i="1" s="1"/>
  <c r="AC490" i="1"/>
  <c r="AB490" i="1"/>
  <c r="AA490" i="1"/>
  <c r="Z490" i="1"/>
  <c r="Q489" i="1"/>
  <c r="M489" i="1"/>
  <c r="Y488" i="1"/>
  <c r="AX486" i="1" s="1"/>
  <c r="AX487" i="1" s="1"/>
  <c r="X488" i="1"/>
  <c r="AW486" i="1" s="1"/>
  <c r="AW487" i="1" s="1"/>
  <c r="W488" i="1"/>
  <c r="AV486" i="1" s="1"/>
  <c r="AV487" i="1" s="1"/>
  <c r="V488" i="1"/>
  <c r="AU486" i="1" s="1"/>
  <c r="AU487" i="1" s="1"/>
  <c r="AD486" i="1"/>
  <c r="AC488" i="1"/>
  <c r="BB486" i="1" s="1"/>
  <c r="BB487" i="1" s="1"/>
  <c r="AB488" i="1"/>
  <c r="BA486" i="1" s="1"/>
  <c r="BA487" i="1" s="1"/>
  <c r="AA488" i="1"/>
  <c r="AZ486" i="1" s="1"/>
  <c r="AZ487" i="1" s="1"/>
  <c r="Z488" i="1"/>
  <c r="AY486" i="1" s="1"/>
  <c r="AY487" i="1" s="1"/>
  <c r="M486" i="1"/>
  <c r="X478" i="1"/>
  <c r="W478" i="1"/>
  <c r="V478" i="1"/>
  <c r="X477" i="1"/>
  <c r="W477" i="1"/>
  <c r="V475" i="1"/>
  <c r="Y474" i="1"/>
  <c r="Y478" i="1" s="1"/>
  <c r="AS473" i="1"/>
  <c r="AR473" i="1"/>
  <c r="AQ473" i="1"/>
  <c r="AP473" i="1"/>
  <c r="AO473" i="1"/>
  <c r="AN473" i="1"/>
  <c r="AM473" i="1"/>
  <c r="AL473" i="1"/>
  <c r="AK473" i="1"/>
  <c r="AJ473" i="1"/>
  <c r="Y472" i="1"/>
  <c r="AX470" i="1" s="1"/>
  <c r="W472" i="1"/>
  <c r="AV470" i="1" s="1"/>
  <c r="V472" i="1"/>
  <c r="AU470" i="1" s="1"/>
  <c r="AC471" i="1"/>
  <c r="AA471" i="1"/>
  <c r="X471" i="1"/>
  <c r="AB471" i="1" s="1"/>
  <c r="AA472" i="1"/>
  <c r="AZ470" i="1" s="1"/>
  <c r="Z472" i="1"/>
  <c r="AY470" i="1" s="1"/>
  <c r="M470" i="1"/>
  <c r="Y469" i="1"/>
  <c r="AX467" i="1" s="1"/>
  <c r="X469" i="1"/>
  <c r="AW467" i="1" s="1"/>
  <c r="W469" i="1"/>
  <c r="AV467" i="1" s="1"/>
  <c r="V469" i="1"/>
  <c r="AU467" i="1" s="1"/>
  <c r="AA468" i="1"/>
  <c r="Z468" i="1"/>
  <c r="AC469" i="1"/>
  <c r="BB467" i="1" s="1"/>
  <c r="AB469" i="1"/>
  <c r="BA467" i="1" s="1"/>
  <c r="AA469" i="1"/>
  <c r="AZ467" i="1" s="1"/>
  <c r="M467" i="1"/>
  <c r="Y466" i="1"/>
  <c r="AX464" i="1" s="1"/>
  <c r="X466" i="1"/>
  <c r="AW464" i="1" s="1"/>
  <c r="W466" i="1"/>
  <c r="AV464" i="1" s="1"/>
  <c r="V466" i="1"/>
  <c r="AU464" i="1" s="1"/>
  <c r="AC465" i="1"/>
  <c r="AB465" i="1"/>
  <c r="AA465" i="1"/>
  <c r="Z465" i="1"/>
  <c r="AD464" i="1"/>
  <c r="M464" i="1"/>
  <c r="AF463" i="1"/>
  <c r="Y463" i="1"/>
  <c r="AX461" i="1" s="1"/>
  <c r="AX462" i="1" s="1"/>
  <c r="X463" i="1"/>
  <c r="AW461" i="1" s="1"/>
  <c r="AW462" i="1" s="1"/>
  <c r="W463" i="1"/>
  <c r="AV461" i="1" s="1"/>
  <c r="AV462" i="1" s="1"/>
  <c r="V463" i="1"/>
  <c r="AU461" i="1" s="1"/>
  <c r="AU462" i="1" s="1"/>
  <c r="AC462" i="1"/>
  <c r="AB462" i="1"/>
  <c r="AA462" i="1"/>
  <c r="Z462" i="1"/>
  <c r="AD461" i="1"/>
  <c r="M461" i="1"/>
  <c r="AF460" i="1"/>
  <c r="Y460" i="1"/>
  <c r="AX458" i="1" s="1"/>
  <c r="AX459" i="1" s="1"/>
  <c r="X460" i="1"/>
  <c r="AW458" i="1" s="1"/>
  <c r="AW459" i="1" s="1"/>
  <c r="W460" i="1"/>
  <c r="AV458" i="1" s="1"/>
  <c r="AV459" i="1" s="1"/>
  <c r="V460" i="1"/>
  <c r="AU458" i="1" s="1"/>
  <c r="AU459" i="1" s="1"/>
  <c r="AC459" i="1"/>
  <c r="AB459" i="1"/>
  <c r="AA459" i="1"/>
  <c r="Z459" i="1"/>
  <c r="AD458" i="1"/>
  <c r="AB460" i="1"/>
  <c r="BA458" i="1" s="1"/>
  <c r="BA459" i="1" s="1"/>
  <c r="M458" i="1"/>
  <c r="AF457" i="1"/>
  <c r="Y457" i="1"/>
  <c r="AX455" i="1" s="1"/>
  <c r="AX456" i="1" s="1"/>
  <c r="X457" i="1"/>
  <c r="AW455" i="1" s="1"/>
  <c r="AW456" i="1" s="1"/>
  <c r="W457" i="1"/>
  <c r="AV455" i="1" s="1"/>
  <c r="AV456" i="1" s="1"/>
  <c r="V457" i="1"/>
  <c r="AU455" i="1" s="1"/>
  <c r="AU456" i="1" s="1"/>
  <c r="AC456" i="1"/>
  <c r="AB456" i="1"/>
  <c r="AA456" i="1"/>
  <c r="Z456" i="1"/>
  <c r="AD455" i="1"/>
  <c r="M455" i="1"/>
  <c r="AF454" i="1"/>
  <c r="Y454" i="1"/>
  <c r="AX452" i="1" s="1"/>
  <c r="AX453" i="1" s="1"/>
  <c r="X454" i="1"/>
  <c r="AW452" i="1" s="1"/>
  <c r="AW453" i="1" s="1"/>
  <c r="W454" i="1"/>
  <c r="AV452" i="1" s="1"/>
  <c r="AV453" i="1" s="1"/>
  <c r="V454" i="1"/>
  <c r="AU452" i="1" s="1"/>
  <c r="AU453" i="1" s="1"/>
  <c r="AC453" i="1"/>
  <c r="AB453" i="1"/>
  <c r="AA453" i="1"/>
  <c r="Z453" i="1"/>
  <c r="AD452" i="1"/>
  <c r="M452" i="1"/>
  <c r="X444" i="1"/>
  <c r="W444" i="1"/>
  <c r="V444" i="1"/>
  <c r="X443" i="1"/>
  <c r="W443" i="1"/>
  <c r="V443" i="1"/>
  <c r="Y440" i="1"/>
  <c r="Y443" i="1" s="1"/>
  <c r="AS439" i="1"/>
  <c r="AR439" i="1"/>
  <c r="AQ439" i="1"/>
  <c r="AP439" i="1"/>
  <c r="AO439" i="1"/>
  <c r="AN439" i="1"/>
  <c r="AM439" i="1"/>
  <c r="AL439" i="1"/>
  <c r="AK439" i="1"/>
  <c r="AJ439" i="1"/>
  <c r="Y438" i="1"/>
  <c r="AX436" i="1" s="1"/>
  <c r="AX437" i="1" s="1"/>
  <c r="X438" i="1"/>
  <c r="AW436" i="1" s="1"/>
  <c r="AW437" i="1" s="1"/>
  <c r="W438" i="1"/>
  <c r="AV436" i="1" s="1"/>
  <c r="AV437" i="1" s="1"/>
  <c r="V438" i="1"/>
  <c r="AU436" i="1" s="1"/>
  <c r="AU437" i="1" s="1"/>
  <c r="AA437" i="1"/>
  <c r="AC438" i="1"/>
  <c r="BB436" i="1" s="1"/>
  <c r="BB437" i="1" s="1"/>
  <c r="AB438" i="1"/>
  <c r="BA436" i="1" s="1"/>
  <c r="BA437" i="1" s="1"/>
  <c r="Z438" i="1"/>
  <c r="AY436" i="1" s="1"/>
  <c r="AY437" i="1" s="1"/>
  <c r="M436" i="1"/>
  <c r="Y435" i="1"/>
  <c r="AX433" i="1" s="1"/>
  <c r="AX434" i="1" s="1"/>
  <c r="X435" i="1"/>
  <c r="AW433" i="1" s="1"/>
  <c r="AW434" i="1" s="1"/>
  <c r="W435" i="1"/>
  <c r="AV433" i="1" s="1"/>
  <c r="AV434" i="1" s="1"/>
  <c r="V435" i="1"/>
  <c r="AU433" i="1" s="1"/>
  <c r="AU434" i="1" s="1"/>
  <c r="AC435" i="1"/>
  <c r="BB433" i="1" s="1"/>
  <c r="BB434" i="1" s="1"/>
  <c r="AB435" i="1"/>
  <c r="BA433" i="1" s="1"/>
  <c r="BA434" i="1" s="1"/>
  <c r="AA435" i="1"/>
  <c r="AZ433" i="1" s="1"/>
  <c r="AZ434" i="1" s="1"/>
  <c r="Z435" i="1"/>
  <c r="AY433" i="1" s="1"/>
  <c r="AY434" i="1" s="1"/>
  <c r="M433" i="1"/>
  <c r="Y432" i="1"/>
  <c r="AX430" i="1" s="1"/>
  <c r="AX431" i="1" s="1"/>
  <c r="AX432" i="1" s="1"/>
  <c r="X432" i="1"/>
  <c r="AW430" i="1" s="1"/>
  <c r="AW431" i="1" s="1"/>
  <c r="AW432" i="1" s="1"/>
  <c r="W432" i="1"/>
  <c r="AV430" i="1" s="1"/>
  <c r="AV431" i="1" s="1"/>
  <c r="V432" i="1"/>
  <c r="AU430" i="1" s="1"/>
  <c r="AU431" i="1" s="1"/>
  <c r="AC432" i="1"/>
  <c r="BB430" i="1" s="1"/>
  <c r="BB431" i="1" s="1"/>
  <c r="BB432" i="1" s="1"/>
  <c r="BC430" i="1" s="1"/>
  <c r="AB432" i="1"/>
  <c r="BA430" i="1" s="1"/>
  <c r="BA431" i="1" s="1"/>
  <c r="BA432" i="1" s="1"/>
  <c r="AA432" i="1"/>
  <c r="AZ430" i="1" s="1"/>
  <c r="AZ431" i="1" s="1"/>
  <c r="Z432" i="1"/>
  <c r="AY430" i="1" s="1"/>
  <c r="AY431" i="1" s="1"/>
  <c r="M430" i="1"/>
  <c r="Y429" i="1"/>
  <c r="AX427" i="1" s="1"/>
  <c r="AX428" i="1" s="1"/>
  <c r="X429" i="1"/>
  <c r="AW427" i="1" s="1"/>
  <c r="AW428" i="1" s="1"/>
  <c r="W429" i="1"/>
  <c r="AV427" i="1" s="1"/>
  <c r="AV428" i="1" s="1"/>
  <c r="V429" i="1"/>
  <c r="AU427" i="1" s="1"/>
  <c r="AU428" i="1" s="1"/>
  <c r="Z428" i="1"/>
  <c r="AC429" i="1"/>
  <c r="BB427" i="1" s="1"/>
  <c r="BB428" i="1" s="1"/>
  <c r="AB429" i="1"/>
  <c r="BA427" i="1" s="1"/>
  <c r="BA428" i="1" s="1"/>
  <c r="AA429" i="1"/>
  <c r="AZ427" i="1" s="1"/>
  <c r="AZ428" i="1" s="1"/>
  <c r="M427" i="1"/>
  <c r="Y426" i="1"/>
  <c r="AX424" i="1" s="1"/>
  <c r="AX425" i="1" s="1"/>
  <c r="X426" i="1"/>
  <c r="AW424" i="1" s="1"/>
  <c r="AW425" i="1" s="1"/>
  <c r="W426" i="1"/>
  <c r="AV424" i="1" s="1"/>
  <c r="AV425" i="1" s="1"/>
  <c r="V426" i="1"/>
  <c r="AU424" i="1" s="1"/>
  <c r="AU425" i="1" s="1"/>
  <c r="AC425" i="1"/>
  <c r="AB425" i="1"/>
  <c r="AA425" i="1"/>
  <c r="Z425" i="1"/>
  <c r="AG424" i="1"/>
  <c r="AE424" i="1"/>
  <c r="M424" i="1"/>
  <c r="Y423" i="1"/>
  <c r="AX421" i="1" s="1"/>
  <c r="AX422" i="1" s="1"/>
  <c r="X423" i="1"/>
  <c r="AW421" i="1" s="1"/>
  <c r="AW422" i="1" s="1"/>
  <c r="W423" i="1"/>
  <c r="AV421" i="1" s="1"/>
  <c r="AV422" i="1" s="1"/>
  <c r="V423" i="1"/>
  <c r="AU421" i="1" s="1"/>
  <c r="AU422" i="1" s="1"/>
  <c r="AD421" i="1"/>
  <c r="AB423" i="1"/>
  <c r="BA421" i="1" s="1"/>
  <c r="BA422" i="1" s="1"/>
  <c r="AA423" i="1"/>
  <c r="AZ421" i="1" s="1"/>
  <c r="AZ422" i="1" s="1"/>
  <c r="Z423" i="1"/>
  <c r="AY421" i="1" s="1"/>
  <c r="AY422" i="1" s="1"/>
  <c r="M421" i="1"/>
  <c r="Y420" i="1"/>
  <c r="AX418" i="1" s="1"/>
  <c r="X420" i="1"/>
  <c r="AW418" i="1" s="1"/>
  <c r="W420" i="1"/>
  <c r="AV418" i="1" s="1"/>
  <c r="V420" i="1"/>
  <c r="AU418" i="1" s="1"/>
  <c r="AD418" i="1"/>
  <c r="AC420" i="1"/>
  <c r="BB418" i="1" s="1"/>
  <c r="AB420" i="1"/>
  <c r="BA418" i="1" s="1"/>
  <c r="AA420" i="1"/>
  <c r="AZ418" i="1" s="1"/>
  <c r="Z420" i="1"/>
  <c r="AY418" i="1" s="1"/>
  <c r="M418" i="1"/>
  <c r="Y417" i="1"/>
  <c r="AX415" i="1" s="1"/>
  <c r="X417" i="1"/>
  <c r="AW415" i="1" s="1"/>
  <c r="W417" i="1"/>
  <c r="AV415" i="1" s="1"/>
  <c r="V417" i="1"/>
  <c r="AU415" i="1" s="1"/>
  <c r="AG415" i="1"/>
  <c r="AE415" i="1"/>
  <c r="AC417" i="1"/>
  <c r="BB415" i="1" s="1"/>
  <c r="AB417" i="1"/>
  <c r="BA415" i="1" s="1"/>
  <c r="AA417" i="1"/>
  <c r="AZ415" i="1" s="1"/>
  <c r="Z417" i="1"/>
  <c r="AY415" i="1" s="1"/>
  <c r="M415" i="1"/>
  <c r="Y414" i="1"/>
  <c r="AX412" i="1" s="1"/>
  <c r="X414" i="1"/>
  <c r="AW412" i="1" s="1"/>
  <c r="W414" i="1"/>
  <c r="AV412" i="1" s="1"/>
  <c r="V414" i="1"/>
  <c r="AU412" i="1" s="1"/>
  <c r="AC413" i="1"/>
  <c r="AB413" i="1"/>
  <c r="AA413" i="1"/>
  <c r="AA414" i="1" s="1"/>
  <c r="AZ412" i="1" s="1"/>
  <c r="Z413" i="1"/>
  <c r="AD412" i="1"/>
  <c r="AC414" i="1"/>
  <c r="BB412" i="1" s="1"/>
  <c r="M412" i="1"/>
  <c r="Y411" i="1"/>
  <c r="AX409" i="1" s="1"/>
  <c r="X411" i="1"/>
  <c r="AW409" i="1" s="1"/>
  <c r="W411" i="1"/>
  <c r="AV409" i="1" s="1"/>
  <c r="AV410" i="1" s="1"/>
  <c r="AV411" i="1" s="1"/>
  <c r="V411" i="1"/>
  <c r="AU409" i="1" s="1"/>
  <c r="AC410" i="1"/>
  <c r="AB410" i="1"/>
  <c r="AA410" i="1"/>
  <c r="Z410" i="1"/>
  <c r="AD409" i="1"/>
  <c r="AA411" i="1"/>
  <c r="AZ409" i="1" s="1"/>
  <c r="M409" i="1"/>
  <c r="X401" i="1"/>
  <c r="W401" i="1"/>
  <c r="V401" i="1"/>
  <c r="X400" i="1"/>
  <c r="W400" i="1"/>
  <c r="V400" i="1"/>
  <c r="Y397" i="1"/>
  <c r="Y401" i="1" s="1"/>
  <c r="AS396" i="1"/>
  <c r="AR396" i="1"/>
  <c r="AQ396" i="1"/>
  <c r="AP396" i="1"/>
  <c r="AO396" i="1"/>
  <c r="AN396" i="1"/>
  <c r="AM396" i="1"/>
  <c r="AL396" i="1"/>
  <c r="AK396" i="1"/>
  <c r="AJ396" i="1"/>
  <c r="Y395" i="1"/>
  <c r="AX393" i="1" s="1"/>
  <c r="AX394" i="1" s="1"/>
  <c r="X395" i="1"/>
  <c r="AW393" i="1" s="1"/>
  <c r="AW394" i="1" s="1"/>
  <c r="W395" i="1"/>
  <c r="AV393" i="1" s="1"/>
  <c r="AV394" i="1" s="1"/>
  <c r="V395" i="1"/>
  <c r="AU393" i="1" s="1"/>
  <c r="AU394" i="1" s="1"/>
  <c r="AC394" i="1"/>
  <c r="AB394" i="1"/>
  <c r="AA394" i="1"/>
  <c r="Z394" i="1"/>
  <c r="Y392" i="1"/>
  <c r="AX390" i="1" s="1"/>
  <c r="AX391" i="1" s="1"/>
  <c r="X392" i="1"/>
  <c r="AW390" i="1" s="1"/>
  <c r="AW391" i="1" s="1"/>
  <c r="W392" i="1"/>
  <c r="AV390" i="1" s="1"/>
  <c r="AV391" i="1" s="1"/>
  <c r="V392" i="1"/>
  <c r="AU390" i="1" s="1"/>
  <c r="AU391" i="1" s="1"/>
  <c r="AA391" i="1"/>
  <c r="AC392" i="1"/>
  <c r="BB390" i="1" s="1"/>
  <c r="BB391" i="1" s="1"/>
  <c r="AB392" i="1"/>
  <c r="BA390" i="1" s="1"/>
  <c r="BA391" i="1" s="1"/>
  <c r="AA392" i="1"/>
  <c r="AZ390" i="1" s="1"/>
  <c r="AZ391" i="1" s="1"/>
  <c r="Z392" i="1"/>
  <c r="AY390" i="1" s="1"/>
  <c r="AY391" i="1" s="1"/>
  <c r="Y389" i="1"/>
  <c r="AX387" i="1" s="1"/>
  <c r="X389" i="1"/>
  <c r="AW387" i="1" s="1"/>
  <c r="W389" i="1"/>
  <c r="AV387" i="1" s="1"/>
  <c r="V389" i="1"/>
  <c r="AU387" i="1" s="1"/>
  <c r="AC388" i="1"/>
  <c r="AB388" i="1"/>
  <c r="AA388" i="1"/>
  <c r="Z388" i="1"/>
  <c r="Z389" i="1" s="1"/>
  <c r="AY387" i="1" s="1"/>
  <c r="M387" i="1"/>
  <c r="Y386" i="1"/>
  <c r="AX384" i="1" s="1"/>
  <c r="X386" i="1"/>
  <c r="AW384" i="1" s="1"/>
  <c r="W386" i="1"/>
  <c r="AV384" i="1" s="1"/>
  <c r="V386" i="1"/>
  <c r="AU384" i="1" s="1"/>
  <c r="AC385" i="1"/>
  <c r="AB385" i="1"/>
  <c r="AA385" i="1"/>
  <c r="Z385" i="1"/>
  <c r="P384" i="1"/>
  <c r="M384" i="1"/>
  <c r="Y383" i="1"/>
  <c r="AX381" i="1" s="1"/>
  <c r="X383" i="1"/>
  <c r="AW381" i="1" s="1"/>
  <c r="W383" i="1"/>
  <c r="AV381" i="1" s="1"/>
  <c r="V383" i="1"/>
  <c r="AU381" i="1" s="1"/>
  <c r="AC382" i="1"/>
  <c r="AA382" i="1"/>
  <c r="Z382" i="1"/>
  <c r="Z383" i="1" s="1"/>
  <c r="AY381" i="1" s="1"/>
  <c r="AB383" i="1"/>
  <c r="BA381" i="1" s="1"/>
  <c r="AA383" i="1"/>
  <c r="AZ381" i="1" s="1"/>
  <c r="P381" i="1"/>
  <c r="M381" i="1"/>
  <c r="Y380" i="1"/>
  <c r="AX378" i="1" s="1"/>
  <c r="X380" i="1"/>
  <c r="AW378" i="1" s="1"/>
  <c r="W380" i="1"/>
  <c r="AV378" i="1" s="1"/>
  <c r="V380" i="1"/>
  <c r="AU378" i="1" s="1"/>
  <c r="AC379" i="1"/>
  <c r="AB379" i="1"/>
  <c r="AA379" i="1"/>
  <c r="Z379" i="1"/>
  <c r="AB380" i="1"/>
  <c r="BA378" i="1" s="1"/>
  <c r="M378" i="1"/>
  <c r="Y377" i="1"/>
  <c r="AX375" i="1" s="1"/>
  <c r="X377" i="1"/>
  <c r="AW375" i="1" s="1"/>
  <c r="W377" i="1"/>
  <c r="AV375" i="1" s="1"/>
  <c r="V377" i="1"/>
  <c r="AU375" i="1" s="1"/>
  <c r="AC376" i="1"/>
  <c r="AB376" i="1"/>
  <c r="AA376" i="1"/>
  <c r="Z376" i="1"/>
  <c r="AA377" i="1"/>
  <c r="AZ375" i="1" s="1"/>
  <c r="Y374" i="1"/>
  <c r="AX372" i="1" s="1"/>
  <c r="X374" i="1"/>
  <c r="AW372" i="1" s="1"/>
  <c r="W374" i="1"/>
  <c r="AV372" i="1" s="1"/>
  <c r="V374" i="1"/>
  <c r="AU372" i="1" s="1"/>
  <c r="AC373" i="1"/>
  <c r="AB373" i="1"/>
  <c r="AA373" i="1"/>
  <c r="Z373" i="1"/>
  <c r="AD372" i="1"/>
  <c r="AC374" i="1"/>
  <c r="BB372" i="1" s="1"/>
  <c r="M372" i="1"/>
  <c r="W363" i="1"/>
  <c r="Y362" i="1"/>
  <c r="X362" i="1"/>
  <c r="W362" i="1"/>
  <c r="V362" i="1"/>
  <c r="Y361" i="1"/>
  <c r="X361" i="1"/>
  <c r="V361" i="1"/>
  <c r="W360" i="1"/>
  <c r="W359" i="1"/>
  <c r="W361" i="1" s="1"/>
  <c r="AS357" i="1"/>
  <c r="AR357" i="1"/>
  <c r="AQ357" i="1"/>
  <c r="AP357" i="1"/>
  <c r="AO357" i="1"/>
  <c r="AN357" i="1"/>
  <c r="AM357" i="1"/>
  <c r="AL357" i="1"/>
  <c r="AK357" i="1"/>
  <c r="AJ357" i="1"/>
  <c r="Y356" i="1"/>
  <c r="AX354" i="1" s="1"/>
  <c r="AX355" i="1" s="1"/>
  <c r="X356" i="1"/>
  <c r="AW354" i="1" s="1"/>
  <c r="AW355" i="1" s="1"/>
  <c r="W356" i="1"/>
  <c r="AV354" i="1" s="1"/>
  <c r="AV355" i="1" s="1"/>
  <c r="V356" i="1"/>
  <c r="AU354" i="1" s="1"/>
  <c r="AU355" i="1" s="1"/>
  <c r="AC355" i="1"/>
  <c r="AB355" i="1"/>
  <c r="AA355" i="1"/>
  <c r="Z355" i="1"/>
  <c r="Y353" i="1"/>
  <c r="AX351" i="1" s="1"/>
  <c r="X353" i="1"/>
  <c r="AW351" i="1" s="1"/>
  <c r="W353" i="1"/>
  <c r="AV351" i="1" s="1"/>
  <c r="V353" i="1"/>
  <c r="AU351" i="1" s="1"/>
  <c r="AC353" i="1"/>
  <c r="BB351" i="1" s="1"/>
  <c r="AB353" i="1"/>
  <c r="BA351" i="1" s="1"/>
  <c r="AA353" i="1"/>
  <c r="AZ351" i="1" s="1"/>
  <c r="Z353" i="1"/>
  <c r="AY351" i="1" s="1"/>
  <c r="Y350" i="1"/>
  <c r="AX348" i="1" s="1"/>
  <c r="AX349" i="1" s="1"/>
  <c r="AX350" i="1" s="1"/>
  <c r="X350" i="1"/>
  <c r="AW348" i="1" s="1"/>
  <c r="AW349" i="1" s="1"/>
  <c r="W350" i="1"/>
  <c r="AV348" i="1" s="1"/>
  <c r="AV349" i="1" s="1"/>
  <c r="AV350" i="1" s="1"/>
  <c r="V350" i="1"/>
  <c r="AU348" i="1" s="1"/>
  <c r="AU349" i="1" s="1"/>
  <c r="AC349" i="1"/>
  <c r="AB349" i="1"/>
  <c r="AA349" i="1"/>
  <c r="Z349" i="1"/>
  <c r="Z350" i="1" s="1"/>
  <c r="AY348" i="1" s="1"/>
  <c r="AY349" i="1" s="1"/>
  <c r="Y347" i="1"/>
  <c r="AX345" i="1" s="1"/>
  <c r="AX346" i="1" s="1"/>
  <c r="X347" i="1"/>
  <c r="AW345" i="1" s="1"/>
  <c r="AW346" i="1" s="1"/>
  <c r="W347" i="1"/>
  <c r="AV345" i="1" s="1"/>
  <c r="AV346" i="1" s="1"/>
  <c r="V347" i="1"/>
  <c r="AU345" i="1" s="1"/>
  <c r="AU346" i="1" s="1"/>
  <c r="AC346" i="1"/>
  <c r="AB346" i="1"/>
  <c r="AA346" i="1"/>
  <c r="Z346" i="1"/>
  <c r="M345" i="1"/>
  <c r="Y344" i="1"/>
  <c r="AX342" i="1" s="1"/>
  <c r="AX343" i="1" s="1"/>
  <c r="X344" i="1"/>
  <c r="AW342" i="1" s="1"/>
  <c r="AW343" i="1" s="1"/>
  <c r="W344" i="1"/>
  <c r="AV342" i="1" s="1"/>
  <c r="AV343" i="1" s="1"/>
  <c r="AV344" i="1" s="1"/>
  <c r="V344" i="1"/>
  <c r="AU342" i="1" s="1"/>
  <c r="AU343" i="1" s="1"/>
  <c r="AC343" i="1"/>
  <c r="AB343" i="1"/>
  <c r="AA343" i="1"/>
  <c r="Z343" i="1"/>
  <c r="AD342" i="1"/>
  <c r="M342" i="1"/>
  <c r="Y341" i="1"/>
  <c r="AX339" i="1" s="1"/>
  <c r="X341" i="1"/>
  <c r="AW339" i="1" s="1"/>
  <c r="W341" i="1"/>
  <c r="AV339" i="1" s="1"/>
  <c r="V341" i="1"/>
  <c r="AU339" i="1" s="1"/>
  <c r="AB340" i="1"/>
  <c r="AC340" i="1" s="1"/>
  <c r="AA340" i="1"/>
  <c r="Z340" i="1"/>
  <c r="AF339" i="1"/>
  <c r="AD339" i="1" s="1"/>
  <c r="AC341" i="1"/>
  <c r="BB339" i="1" s="1"/>
  <c r="AB341" i="1"/>
  <c r="BA339" i="1" s="1"/>
  <c r="Y338" i="1"/>
  <c r="AX336" i="1" s="1"/>
  <c r="X338" i="1"/>
  <c r="AW336" i="1" s="1"/>
  <c r="W338" i="1"/>
  <c r="AV336" i="1" s="1"/>
  <c r="V338" i="1"/>
  <c r="AU336" i="1" s="1"/>
  <c r="AC337" i="1"/>
  <c r="AB337" i="1"/>
  <c r="AA337" i="1"/>
  <c r="Z337" i="1"/>
  <c r="AF336" i="1"/>
  <c r="AD336" i="1" s="1"/>
  <c r="Y328" i="1"/>
  <c r="X328" i="1"/>
  <c r="W328" i="1"/>
  <c r="V328" i="1"/>
  <c r="Y327" i="1"/>
  <c r="X327" i="1"/>
  <c r="W327" i="1"/>
  <c r="V327" i="1"/>
  <c r="AS323" i="1"/>
  <c r="AR323" i="1"/>
  <c r="AQ323" i="1"/>
  <c r="AP323" i="1"/>
  <c r="AO323" i="1"/>
  <c r="AN323" i="1"/>
  <c r="AM323" i="1"/>
  <c r="AL323" i="1"/>
  <c r="AK323" i="1"/>
  <c r="AJ323" i="1"/>
  <c r="Y322" i="1"/>
  <c r="AX320" i="1" s="1"/>
  <c r="X322" i="1"/>
  <c r="AW320" i="1" s="1"/>
  <c r="W322" i="1"/>
  <c r="AV320" i="1" s="1"/>
  <c r="V322" i="1"/>
  <c r="AU320" i="1" s="1"/>
  <c r="AC321" i="1"/>
  <c r="AB321" i="1"/>
  <c r="AA321" i="1"/>
  <c r="Z321" i="1"/>
  <c r="M320" i="1"/>
  <c r="Y319" i="1"/>
  <c r="AX317" i="1" s="1"/>
  <c r="X319" i="1"/>
  <c r="AW317" i="1" s="1"/>
  <c r="W319" i="1"/>
  <c r="AV317" i="1" s="1"/>
  <c r="V319" i="1"/>
  <c r="AU317" i="1" s="1"/>
  <c r="AC318" i="1"/>
  <c r="AB318" i="1"/>
  <c r="AA318" i="1"/>
  <c r="Z318" i="1"/>
  <c r="AC319" i="1"/>
  <c r="BB317" i="1" s="1"/>
  <c r="M317" i="1"/>
  <c r="Y316" i="1"/>
  <c r="AX314" i="1" s="1"/>
  <c r="X316" i="1"/>
  <c r="AW314" i="1" s="1"/>
  <c r="AW315" i="1" s="1"/>
  <c r="AW316" i="1" s="1"/>
  <c r="AW323" i="1" s="1"/>
  <c r="W316" i="1"/>
  <c r="AV314" i="1" s="1"/>
  <c r="AV315" i="1" s="1"/>
  <c r="AV316" i="1" s="1"/>
  <c r="AV323" i="1" s="1"/>
  <c r="V316" i="1"/>
  <c r="AU314" i="1" s="1"/>
  <c r="AU315" i="1" s="1"/>
  <c r="AU316" i="1" s="1"/>
  <c r="AU323" i="1" s="1"/>
  <c r="AC315" i="1"/>
  <c r="AB315" i="1"/>
  <c r="AA315" i="1"/>
  <c r="Z315" i="1"/>
  <c r="Z316" i="1" s="1"/>
  <c r="AY314" i="1" s="1"/>
  <c r="AD314" i="1"/>
  <c r="M314" i="1"/>
  <c r="W307" i="1"/>
  <c r="X306" i="1"/>
  <c r="W306" i="1"/>
  <c r="V306" i="1"/>
  <c r="X305" i="1"/>
  <c r="W305" i="1"/>
  <c r="V305" i="1"/>
  <c r="Y302" i="1"/>
  <c r="Y306" i="1" s="1"/>
  <c r="AS301" i="1"/>
  <c r="AR301" i="1"/>
  <c r="AQ301" i="1"/>
  <c r="AP301" i="1"/>
  <c r="AO301" i="1"/>
  <c r="AN301" i="1"/>
  <c r="AM301" i="1"/>
  <c r="AL301" i="1"/>
  <c r="AK301" i="1"/>
  <c r="AJ301" i="1"/>
  <c r="AC300" i="1"/>
  <c r="AB300" i="1"/>
  <c r="AA300" i="1"/>
  <c r="Z300" i="1"/>
  <c r="Y300" i="1"/>
  <c r="X300" i="1"/>
  <c r="W300" i="1"/>
  <c r="V300" i="1"/>
  <c r="AD298" i="1"/>
  <c r="M298" i="1"/>
  <c r="AC297" i="1"/>
  <c r="AB297" i="1"/>
  <c r="AA297" i="1"/>
  <c r="Z297" i="1"/>
  <c r="Y297" i="1"/>
  <c r="X297" i="1"/>
  <c r="W297" i="1"/>
  <c r="V297" i="1"/>
  <c r="AD295" i="1"/>
  <c r="M295" i="1"/>
  <c r="Y294" i="1"/>
  <c r="AX292" i="1" s="1"/>
  <c r="X294" i="1"/>
  <c r="AW292" i="1" s="1"/>
  <c r="W294" i="1"/>
  <c r="AV292" i="1" s="1"/>
  <c r="V294" i="1"/>
  <c r="AU292" i="1" s="1"/>
  <c r="AC293" i="1"/>
  <c r="AB293" i="1"/>
  <c r="AA293" i="1"/>
  <c r="Z293" i="1"/>
  <c r="AD292" i="1"/>
  <c r="Y291" i="1"/>
  <c r="AX289" i="1" s="1"/>
  <c r="X291" i="1"/>
  <c r="AW289" i="1" s="1"/>
  <c r="W291" i="1"/>
  <c r="AV289" i="1" s="1"/>
  <c r="V291" i="1"/>
  <c r="AU289" i="1" s="1"/>
  <c r="AC290" i="1"/>
  <c r="AB290" i="1"/>
  <c r="AA290" i="1"/>
  <c r="AA291" i="1" s="1"/>
  <c r="AZ289" i="1" s="1"/>
  <c r="Z290" i="1"/>
  <c r="AD289" i="1"/>
  <c r="Y288" i="1"/>
  <c r="AX286" i="1" s="1"/>
  <c r="AX287" i="1" s="1"/>
  <c r="X288" i="1"/>
  <c r="AW286" i="1" s="1"/>
  <c r="AW287" i="1" s="1"/>
  <c r="W288" i="1"/>
  <c r="AV286" i="1" s="1"/>
  <c r="AV287" i="1" s="1"/>
  <c r="V288" i="1"/>
  <c r="AU286" i="1" s="1"/>
  <c r="AU287" i="1" s="1"/>
  <c r="AC287" i="1"/>
  <c r="AB287" i="1"/>
  <c r="AA287" i="1"/>
  <c r="Z287" i="1"/>
  <c r="AD286" i="1"/>
  <c r="Y285" i="1"/>
  <c r="AX283" i="1" s="1"/>
  <c r="AX284" i="1" s="1"/>
  <c r="X285" i="1"/>
  <c r="AW283" i="1" s="1"/>
  <c r="AW284" i="1" s="1"/>
  <c r="W285" i="1"/>
  <c r="AV283" i="1" s="1"/>
  <c r="AV284" i="1" s="1"/>
  <c r="V285" i="1"/>
  <c r="AU283" i="1" s="1"/>
  <c r="AU284" i="1" s="1"/>
  <c r="AB284" i="1"/>
  <c r="AA284" i="1"/>
  <c r="Z284" i="1"/>
  <c r="AD283" i="1"/>
  <c r="AC285" i="1"/>
  <c r="BB283" i="1" s="1"/>
  <c r="BB284" i="1" s="1"/>
  <c r="Z285" i="1"/>
  <c r="AY283" i="1" s="1"/>
  <c r="AY284" i="1" s="1"/>
  <c r="Y282" i="1"/>
  <c r="AX280" i="1" s="1"/>
  <c r="AX281" i="1" s="1"/>
  <c r="X282" i="1"/>
  <c r="AW280" i="1" s="1"/>
  <c r="AW281" i="1" s="1"/>
  <c r="W282" i="1"/>
  <c r="AV280" i="1" s="1"/>
  <c r="AV281" i="1" s="1"/>
  <c r="V282" i="1"/>
  <c r="AU280" i="1" s="1"/>
  <c r="AU281" i="1" s="1"/>
  <c r="AD280" i="1"/>
  <c r="AC282" i="1"/>
  <c r="BB280" i="1" s="1"/>
  <c r="BB281" i="1" s="1"/>
  <c r="AB282" i="1"/>
  <c r="BA280" i="1" s="1"/>
  <c r="BA281" i="1" s="1"/>
  <c r="AA282" i="1"/>
  <c r="AZ280" i="1" s="1"/>
  <c r="AZ281" i="1" s="1"/>
  <c r="Z282" i="1"/>
  <c r="AY280" i="1" s="1"/>
  <c r="AY281" i="1" s="1"/>
  <c r="M280" i="1"/>
  <c r="Y279" i="1"/>
  <c r="AX277" i="1" s="1"/>
  <c r="AX278" i="1" s="1"/>
  <c r="X279" i="1"/>
  <c r="AW277" i="1" s="1"/>
  <c r="AW278" i="1" s="1"/>
  <c r="W279" i="1"/>
  <c r="AV277" i="1" s="1"/>
  <c r="AV278" i="1" s="1"/>
  <c r="V279" i="1"/>
  <c r="AU277" i="1" s="1"/>
  <c r="AU278" i="1" s="1"/>
  <c r="AC278" i="1"/>
  <c r="AD277" i="1"/>
  <c r="AB279" i="1"/>
  <c r="BA277" i="1" s="1"/>
  <c r="BA278" i="1" s="1"/>
  <c r="AA279" i="1"/>
  <c r="AZ277" i="1" s="1"/>
  <c r="AZ278" i="1" s="1"/>
  <c r="Z279" i="1"/>
  <c r="AY277" i="1" s="1"/>
  <c r="AY278" i="1" s="1"/>
  <c r="M277" i="1"/>
  <c r="Y276" i="1"/>
  <c r="AX274" i="1" s="1"/>
  <c r="AX275" i="1" s="1"/>
  <c r="X276" i="1"/>
  <c r="AW274" i="1" s="1"/>
  <c r="AW275" i="1" s="1"/>
  <c r="W276" i="1"/>
  <c r="AV274" i="1" s="1"/>
  <c r="AV275" i="1" s="1"/>
  <c r="V276" i="1"/>
  <c r="AU274" i="1" s="1"/>
  <c r="AU275" i="1" s="1"/>
  <c r="AD274" i="1"/>
  <c r="AC276" i="1"/>
  <c r="BB274" i="1" s="1"/>
  <c r="BB275" i="1" s="1"/>
  <c r="AB276" i="1"/>
  <c r="BA274" i="1" s="1"/>
  <c r="BA275" i="1" s="1"/>
  <c r="AA276" i="1"/>
  <c r="AZ274" i="1" s="1"/>
  <c r="AZ275" i="1" s="1"/>
  <c r="Z276" i="1"/>
  <c r="AY274" i="1" s="1"/>
  <c r="AY275" i="1" s="1"/>
  <c r="M274" i="1"/>
  <c r="Y273" i="1"/>
  <c r="AX271" i="1" s="1"/>
  <c r="AX272" i="1" s="1"/>
  <c r="X273" i="1"/>
  <c r="AW271" i="1" s="1"/>
  <c r="AW272" i="1" s="1"/>
  <c r="W273" i="1"/>
  <c r="AV271" i="1" s="1"/>
  <c r="AV272" i="1" s="1"/>
  <c r="V273" i="1"/>
  <c r="AU271" i="1" s="1"/>
  <c r="AU272" i="1" s="1"/>
  <c r="AC272" i="1"/>
  <c r="AB272" i="1"/>
  <c r="AA272" i="1"/>
  <c r="Z272" i="1"/>
  <c r="AD271" i="1"/>
  <c r="Y270" i="1"/>
  <c r="AX268" i="1" s="1"/>
  <c r="X270" i="1"/>
  <c r="AW268" i="1" s="1"/>
  <c r="W270" i="1"/>
  <c r="AV268" i="1" s="1"/>
  <c r="V270" i="1"/>
  <c r="AU268" i="1" s="1"/>
  <c r="AC269" i="1"/>
  <c r="AB269" i="1"/>
  <c r="AA269" i="1"/>
  <c r="Z269" i="1"/>
  <c r="AD268" i="1"/>
  <c r="M268" i="1"/>
  <c r="Y260" i="1"/>
  <c r="X260" i="1"/>
  <c r="W260" i="1"/>
  <c r="V260" i="1"/>
  <c r="Y259" i="1"/>
  <c r="X259" i="1"/>
  <c r="W259" i="1"/>
  <c r="V259" i="1"/>
  <c r="AS255" i="1"/>
  <c r="AR255" i="1"/>
  <c r="AQ255" i="1"/>
  <c r="AP255" i="1"/>
  <c r="AO255" i="1"/>
  <c r="AN255" i="1"/>
  <c r="AM255" i="1"/>
  <c r="AL255" i="1"/>
  <c r="AK255" i="1"/>
  <c r="AJ255" i="1"/>
  <c r="Y254" i="1"/>
  <c r="AX252" i="1" s="1"/>
  <c r="AX253" i="1" s="1"/>
  <c r="AX254" i="1" s="1"/>
  <c r="X254" i="1"/>
  <c r="AW252" i="1" s="1"/>
  <c r="AW253" i="1" s="1"/>
  <c r="AW254" i="1" s="1"/>
  <c r="W254" i="1"/>
  <c r="AV252" i="1" s="1"/>
  <c r="AV253" i="1" s="1"/>
  <c r="AV254" i="1" s="1"/>
  <c r="V254" i="1"/>
  <c r="AU252" i="1" s="1"/>
  <c r="AU253" i="1" s="1"/>
  <c r="AU254" i="1" s="1"/>
  <c r="AC253" i="1"/>
  <c r="AB253" i="1"/>
  <c r="AA253" i="1"/>
  <c r="Z253" i="1"/>
  <c r="AD252" i="1"/>
  <c r="AA254" i="1"/>
  <c r="AZ252" i="1" s="1"/>
  <c r="AZ253" i="1" s="1"/>
  <c r="AZ254" i="1" s="1"/>
  <c r="S252" i="1"/>
  <c r="M252" i="1"/>
  <c r="Y251" i="1"/>
  <c r="AX249" i="1" s="1"/>
  <c r="AX250" i="1" s="1"/>
  <c r="X251" i="1"/>
  <c r="AW249" i="1" s="1"/>
  <c r="AW250" i="1" s="1"/>
  <c r="W250" i="1"/>
  <c r="W251" i="1" s="1"/>
  <c r="AV249" i="1" s="1"/>
  <c r="AV250" i="1" s="1"/>
  <c r="V250" i="1"/>
  <c r="M249" i="1"/>
  <c r="Y248" i="1"/>
  <c r="AX246" i="1" s="1"/>
  <c r="AX247" i="1" s="1"/>
  <c r="X248" i="1"/>
  <c r="AW246" i="1" s="1"/>
  <c r="AW247" i="1" s="1"/>
  <c r="W248" i="1"/>
  <c r="AV246" i="1" s="1"/>
  <c r="AV247" i="1" s="1"/>
  <c r="V248" i="1"/>
  <c r="AU246" i="1" s="1"/>
  <c r="AU247" i="1" s="1"/>
  <c r="AC247" i="1"/>
  <c r="AB247" i="1"/>
  <c r="AA247" i="1"/>
  <c r="Z247" i="1"/>
  <c r="Z248" i="1" s="1"/>
  <c r="AY246" i="1" s="1"/>
  <c r="AY247" i="1" s="1"/>
  <c r="AC248" i="1"/>
  <c r="BB246" i="1" s="1"/>
  <c r="BB247" i="1" s="1"/>
  <c r="M246" i="1"/>
  <c r="Y245" i="1"/>
  <c r="AX243" i="1" s="1"/>
  <c r="X245" i="1"/>
  <c r="AW243" i="1" s="1"/>
  <c r="W245" i="1"/>
  <c r="AV243" i="1" s="1"/>
  <c r="V245" i="1"/>
  <c r="AU243" i="1" s="1"/>
  <c r="AA244" i="1"/>
  <c r="AC245" i="1"/>
  <c r="BB243" i="1" s="1"/>
  <c r="AB245" i="1"/>
  <c r="BA243" i="1" s="1"/>
  <c r="Z245" i="1"/>
  <c r="AY243" i="1" s="1"/>
  <c r="M243" i="1"/>
  <c r="X242" i="1"/>
  <c r="AW240" i="1" s="1"/>
  <c r="AW241" i="1" s="1"/>
  <c r="AW242" i="1" s="1"/>
  <c r="W242" i="1"/>
  <c r="AV240" i="1" s="1"/>
  <c r="AV241" i="1" s="1"/>
  <c r="AV242" i="1" s="1"/>
  <c r="V242" i="1"/>
  <c r="AU240" i="1" s="1"/>
  <c r="AU241" i="1" s="1"/>
  <c r="AU242" i="1" s="1"/>
  <c r="AB241" i="1"/>
  <c r="AA241" i="1"/>
  <c r="Z241" i="1"/>
  <c r="Y241" i="1"/>
  <c r="AC241" i="1" s="1"/>
  <c r="Z242" i="1"/>
  <c r="AY240" i="1" s="1"/>
  <c r="AY241" i="1" s="1"/>
  <c r="AY242" i="1" s="1"/>
  <c r="M240" i="1"/>
  <c r="Y239" i="1"/>
  <c r="AX237" i="1" s="1"/>
  <c r="X239" i="1"/>
  <c r="AW237" i="1" s="1"/>
  <c r="W239" i="1"/>
  <c r="AV237" i="1" s="1"/>
  <c r="V239" i="1"/>
  <c r="AU237" i="1" s="1"/>
  <c r="AC238" i="1"/>
  <c r="AB238" i="1"/>
  <c r="AA238" i="1"/>
  <c r="Z238" i="1"/>
  <c r="M237" i="1"/>
  <c r="Y236" i="1"/>
  <c r="AX234" i="1" s="1"/>
  <c r="X236" i="1"/>
  <c r="AW234" i="1" s="1"/>
  <c r="W236" i="1"/>
  <c r="AV234" i="1" s="1"/>
  <c r="V236" i="1"/>
  <c r="AU234" i="1" s="1"/>
  <c r="AC235" i="1"/>
  <c r="AB235" i="1"/>
  <c r="AA235" i="1"/>
  <c r="Z235" i="1"/>
  <c r="AB236" i="1"/>
  <c r="BA234" i="1" s="1"/>
  <c r="AA236" i="1"/>
  <c r="AZ234" i="1" s="1"/>
  <c r="M234" i="1"/>
  <c r="Y233" i="1"/>
  <c r="AX231" i="1" s="1"/>
  <c r="X233" i="1"/>
  <c r="AW231" i="1" s="1"/>
  <c r="W233" i="1"/>
  <c r="AV231" i="1" s="1"/>
  <c r="V233" i="1"/>
  <c r="AU231" i="1" s="1"/>
  <c r="AC232" i="1"/>
  <c r="AB232" i="1"/>
  <c r="AA232" i="1"/>
  <c r="Z232" i="1"/>
  <c r="M231" i="1"/>
  <c r="Y230" i="1"/>
  <c r="AX228" i="1" s="1"/>
  <c r="X230" i="1"/>
  <c r="AW228" i="1" s="1"/>
  <c r="W230" i="1"/>
  <c r="AV228" i="1" s="1"/>
  <c r="V230" i="1"/>
  <c r="AU228" i="1" s="1"/>
  <c r="AC230" i="1"/>
  <c r="BB228" i="1" s="1"/>
  <c r="AB230" i="1"/>
  <c r="BA228" i="1" s="1"/>
  <c r="AA230" i="1"/>
  <c r="AZ228" i="1" s="1"/>
  <c r="Z230" i="1"/>
  <c r="AY228" i="1" s="1"/>
  <c r="M228" i="1"/>
  <c r="Y227" i="1"/>
  <c r="AX225" i="1" s="1"/>
  <c r="X227" i="1"/>
  <c r="AW225" i="1" s="1"/>
  <c r="W227" i="1"/>
  <c r="AV225" i="1" s="1"/>
  <c r="V227" i="1"/>
  <c r="AU225" i="1" s="1"/>
  <c r="AC226" i="1"/>
  <c r="AC227" i="1" s="1"/>
  <c r="BB225" i="1" s="1"/>
  <c r="AB226" i="1"/>
  <c r="AA226" i="1"/>
  <c r="Z226" i="1"/>
  <c r="M225" i="1"/>
  <c r="AX222" i="1"/>
  <c r="AW222" i="1"/>
  <c r="AV222" i="1"/>
  <c r="AU222" i="1"/>
  <c r="Y221" i="1"/>
  <c r="AX219" i="1" s="1"/>
  <c r="X221" i="1"/>
  <c r="AW219" i="1" s="1"/>
  <c r="W221" i="1"/>
  <c r="AV219" i="1" s="1"/>
  <c r="V221" i="1"/>
  <c r="AU219" i="1" s="1"/>
  <c r="AC220" i="1"/>
  <c r="AB220" i="1"/>
  <c r="AA220" i="1"/>
  <c r="Z220" i="1"/>
  <c r="M219" i="1"/>
  <c r="Z217" i="1"/>
  <c r="Y217" i="1"/>
  <c r="Y218" i="1" s="1"/>
  <c r="AX216" i="1" s="1"/>
  <c r="X217" i="1"/>
  <c r="X218" i="1" s="1"/>
  <c r="AW216" i="1" s="1"/>
  <c r="W217" i="1"/>
  <c r="W218" i="1" s="1"/>
  <c r="AV216" i="1" s="1"/>
  <c r="V217" i="1"/>
  <c r="V218" i="1" s="1"/>
  <c r="AU216" i="1" s="1"/>
  <c r="M216" i="1"/>
  <c r="Y215" i="1"/>
  <c r="AX213" i="1" s="1"/>
  <c r="AX214" i="1" s="1"/>
  <c r="X215" i="1"/>
  <c r="AW213" i="1" s="1"/>
  <c r="AW214" i="1" s="1"/>
  <c r="W215" i="1"/>
  <c r="AV213" i="1" s="1"/>
  <c r="AV214" i="1" s="1"/>
  <c r="V215" i="1"/>
  <c r="AU213" i="1" s="1"/>
  <c r="AU214" i="1" s="1"/>
  <c r="Z214" i="1"/>
  <c r="AC215" i="1"/>
  <c r="BB213" i="1" s="1"/>
  <c r="BB214" i="1" s="1"/>
  <c r="AB215" i="1"/>
  <c r="BA213" i="1" s="1"/>
  <c r="BA214" i="1" s="1"/>
  <c r="AA215" i="1"/>
  <c r="AZ213" i="1" s="1"/>
  <c r="AZ214" i="1" s="1"/>
  <c r="M213" i="1"/>
  <c r="Y212" i="1"/>
  <c r="AX210" i="1" s="1"/>
  <c r="AX211" i="1" s="1"/>
  <c r="X212" i="1"/>
  <c r="AW210" i="1" s="1"/>
  <c r="AW211" i="1" s="1"/>
  <c r="W211" i="1"/>
  <c r="W212" i="1" s="1"/>
  <c r="AV210" i="1" s="1"/>
  <c r="AV211" i="1" s="1"/>
  <c r="V211" i="1"/>
  <c r="M210" i="1"/>
  <c r="Y209" i="1"/>
  <c r="AX207" i="1" s="1"/>
  <c r="AX208" i="1" s="1"/>
  <c r="X209" i="1"/>
  <c r="AW207" i="1" s="1"/>
  <c r="AW208" i="1" s="1"/>
  <c r="W209" i="1"/>
  <c r="AV207" i="1" s="1"/>
  <c r="AV208" i="1" s="1"/>
  <c r="V209" i="1"/>
  <c r="AU207" i="1" s="1"/>
  <c r="AU208" i="1" s="1"/>
  <c r="AC208" i="1"/>
  <c r="AB208" i="1"/>
  <c r="AA208" i="1"/>
  <c r="Z208" i="1"/>
  <c r="AD207" i="1"/>
  <c r="M207" i="1"/>
  <c r="X199" i="1"/>
  <c r="W199" i="1"/>
  <c r="V199" i="1"/>
  <c r="X198" i="1"/>
  <c r="W198" i="1"/>
  <c r="V198" i="1"/>
  <c r="Y195" i="1"/>
  <c r="AS194" i="1"/>
  <c r="AR194" i="1"/>
  <c r="AQ194" i="1"/>
  <c r="AP194" i="1"/>
  <c r="AO194" i="1"/>
  <c r="AN194" i="1"/>
  <c r="AM194" i="1"/>
  <c r="AL194" i="1"/>
  <c r="AK194" i="1"/>
  <c r="AJ194" i="1"/>
  <c r="Y193" i="1"/>
  <c r="AX191" i="1" s="1"/>
  <c r="AX192" i="1" s="1"/>
  <c r="X193" i="1"/>
  <c r="AW191" i="1" s="1"/>
  <c r="AW192" i="1" s="1"/>
  <c r="W193" i="1"/>
  <c r="AV191" i="1" s="1"/>
  <c r="AV192" i="1" s="1"/>
  <c r="V193" i="1"/>
  <c r="AU191" i="1" s="1"/>
  <c r="AU192" i="1" s="1"/>
  <c r="AC192" i="1"/>
  <c r="AC193" i="1" s="1"/>
  <c r="BB191" i="1" s="1"/>
  <c r="BB192" i="1" s="1"/>
  <c r="AB192" i="1"/>
  <c r="AB193" i="1" s="1"/>
  <c r="BA191" i="1" s="1"/>
  <c r="BA192" i="1" s="1"/>
  <c r="AD191" i="1"/>
  <c r="AA193" i="1"/>
  <c r="AZ191" i="1" s="1"/>
  <c r="AZ192" i="1" s="1"/>
  <c r="Z193" i="1"/>
  <c r="AY191" i="1" s="1"/>
  <c r="AY192" i="1" s="1"/>
  <c r="M191" i="1"/>
  <c r="Y190" i="1"/>
  <c r="AX188" i="1" s="1"/>
  <c r="AX189" i="1" s="1"/>
  <c r="X190" i="1"/>
  <c r="AW188" i="1" s="1"/>
  <c r="AW189" i="1" s="1"/>
  <c r="W190" i="1"/>
  <c r="AV188" i="1" s="1"/>
  <c r="AV189" i="1" s="1"/>
  <c r="V190" i="1"/>
  <c r="AU188" i="1" s="1"/>
  <c r="AU189" i="1" s="1"/>
  <c r="AC189" i="1"/>
  <c r="AC190" i="1" s="1"/>
  <c r="BB188" i="1" s="1"/>
  <c r="BB189" i="1" s="1"/>
  <c r="AB189" i="1"/>
  <c r="AA189" i="1"/>
  <c r="Z189" i="1"/>
  <c r="AC188" i="1"/>
  <c r="AB188" i="1"/>
  <c r="AA188" i="1"/>
  <c r="Z188" i="1"/>
  <c r="M188" i="1"/>
  <c r="Y187" i="1"/>
  <c r="AX185" i="1" s="1"/>
  <c r="AX186" i="1" s="1"/>
  <c r="AX187" i="1" s="1"/>
  <c r="X187" i="1"/>
  <c r="AW185" i="1" s="1"/>
  <c r="AW186" i="1" s="1"/>
  <c r="AW187" i="1" s="1"/>
  <c r="W187" i="1"/>
  <c r="AV185" i="1" s="1"/>
  <c r="AV186" i="1" s="1"/>
  <c r="V187" i="1"/>
  <c r="AU185" i="1" s="1"/>
  <c r="AU186" i="1" s="1"/>
  <c r="AC186" i="1"/>
  <c r="AB186" i="1"/>
  <c r="AA186" i="1"/>
  <c r="Z186" i="1"/>
  <c r="AD185" i="1"/>
  <c r="AC187" i="1"/>
  <c r="BB185" i="1" s="1"/>
  <c r="BB186" i="1" s="1"/>
  <c r="BB187" i="1" s="1"/>
  <c r="BC185" i="1" s="1"/>
  <c r="M185" i="1"/>
  <c r="Y184" i="1"/>
  <c r="AX182" i="1" s="1"/>
  <c r="X184" i="1"/>
  <c r="AW182" i="1" s="1"/>
  <c r="W184" i="1"/>
  <c r="AV182" i="1" s="1"/>
  <c r="V184" i="1"/>
  <c r="AU182" i="1" s="1"/>
  <c r="AC183" i="1"/>
  <c r="AB183" i="1"/>
  <c r="AA183" i="1"/>
  <c r="Z183" i="1"/>
  <c r="AB184" i="1"/>
  <c r="BA182" i="1" s="1"/>
  <c r="M182" i="1"/>
  <c r="Y181" i="1"/>
  <c r="AX179" i="1" s="1"/>
  <c r="X181" i="1"/>
  <c r="AW179" i="1" s="1"/>
  <c r="W181" i="1"/>
  <c r="AV179" i="1" s="1"/>
  <c r="V181" i="1"/>
  <c r="AU179" i="1" s="1"/>
  <c r="AC180" i="1"/>
  <c r="AB180" i="1"/>
  <c r="AB181" i="1" s="1"/>
  <c r="BA179" i="1" s="1"/>
  <c r="AA180" i="1"/>
  <c r="Z180" i="1"/>
  <c r="AA181" i="1"/>
  <c r="AZ179" i="1" s="1"/>
  <c r="M179" i="1"/>
  <c r="Y178" i="1"/>
  <c r="AX176" i="1" s="1"/>
  <c r="X178" i="1"/>
  <c r="AW176" i="1" s="1"/>
  <c r="W178" i="1"/>
  <c r="AV176" i="1" s="1"/>
  <c r="V178" i="1"/>
  <c r="AU176" i="1" s="1"/>
  <c r="AC177" i="1"/>
  <c r="AB177" i="1"/>
  <c r="AA177" i="1"/>
  <c r="Z177" i="1"/>
  <c r="M176" i="1"/>
  <c r="Y175" i="1"/>
  <c r="AX173" i="1" s="1"/>
  <c r="X175" i="1"/>
  <c r="AW173" i="1" s="1"/>
  <c r="W175" i="1"/>
  <c r="AV173" i="1" s="1"/>
  <c r="V175" i="1"/>
  <c r="AU173" i="1" s="1"/>
  <c r="AC174" i="1"/>
  <c r="AB174" i="1"/>
  <c r="AA174" i="1"/>
  <c r="Z174" i="1"/>
  <c r="AC175" i="1"/>
  <c r="BB173" i="1" s="1"/>
  <c r="M173" i="1"/>
  <c r="Y172" i="1"/>
  <c r="AX170" i="1" s="1"/>
  <c r="X172" i="1"/>
  <c r="AW170" i="1" s="1"/>
  <c r="W172" i="1"/>
  <c r="AV170" i="1" s="1"/>
  <c r="V172" i="1"/>
  <c r="AU170" i="1" s="1"/>
  <c r="AC171" i="1"/>
  <c r="AB171" i="1"/>
  <c r="AA171" i="1"/>
  <c r="Z171" i="1"/>
  <c r="AD170" i="1"/>
  <c r="M170" i="1"/>
  <c r="Y169" i="1"/>
  <c r="AX167" i="1" s="1"/>
  <c r="X169" i="1"/>
  <c r="AW167" i="1" s="1"/>
  <c r="W169" i="1"/>
  <c r="AV167" i="1" s="1"/>
  <c r="V169" i="1"/>
  <c r="AU167" i="1" s="1"/>
  <c r="AC168" i="1"/>
  <c r="AB168" i="1"/>
  <c r="AA168" i="1"/>
  <c r="Z168" i="1"/>
  <c r="M167" i="1"/>
  <c r="Y166" i="1"/>
  <c r="AX164" i="1" s="1"/>
  <c r="X166" i="1"/>
  <c r="AW164" i="1" s="1"/>
  <c r="W166" i="1"/>
  <c r="AV164" i="1" s="1"/>
  <c r="V166" i="1"/>
  <c r="AU164" i="1" s="1"/>
  <c r="AC165" i="1"/>
  <c r="AB165" i="1"/>
  <c r="AA165" i="1"/>
  <c r="Z165" i="1"/>
  <c r="M164" i="1"/>
  <c r="Y163" i="1"/>
  <c r="AX161" i="1" s="1"/>
  <c r="X163" i="1"/>
  <c r="AW161" i="1" s="1"/>
  <c r="W163" i="1"/>
  <c r="AV161" i="1" s="1"/>
  <c r="V163" i="1"/>
  <c r="AU161" i="1" s="1"/>
  <c r="AC162" i="1"/>
  <c r="AB162" i="1"/>
  <c r="AA162" i="1"/>
  <c r="Z162" i="1"/>
  <c r="M161" i="1"/>
  <c r="V160" i="1"/>
  <c r="AU158" i="1" s="1"/>
  <c r="Z159" i="1"/>
  <c r="Y159" i="1"/>
  <c r="Y160" i="1" s="1"/>
  <c r="AX158" i="1" s="1"/>
  <c r="X159" i="1"/>
  <c r="X160" i="1" s="1"/>
  <c r="AW158" i="1" s="1"/>
  <c r="W159" i="1"/>
  <c r="AA159" i="1" s="1"/>
  <c r="M158" i="1"/>
  <c r="Y157" i="1"/>
  <c r="AX155" i="1" s="1"/>
  <c r="X157" i="1"/>
  <c r="AW155" i="1" s="1"/>
  <c r="W157" i="1"/>
  <c r="AV155" i="1" s="1"/>
  <c r="V157" i="1"/>
  <c r="AU155" i="1" s="1"/>
  <c r="AC156" i="1"/>
  <c r="AB156" i="1"/>
  <c r="AA156" i="1"/>
  <c r="Z156" i="1"/>
  <c r="AF155" i="1"/>
  <c r="AD155" i="1" s="1"/>
  <c r="M155" i="1"/>
  <c r="Y147" i="1"/>
  <c r="X147" i="1"/>
  <c r="W147" i="1"/>
  <c r="V147" i="1"/>
  <c r="Y146" i="1"/>
  <c r="X146" i="1"/>
  <c r="W146" i="1"/>
  <c r="V146" i="1"/>
  <c r="AS142" i="1"/>
  <c r="AR142" i="1"/>
  <c r="AQ142" i="1"/>
  <c r="AP142" i="1"/>
  <c r="AO142" i="1"/>
  <c r="AN142" i="1"/>
  <c r="AM142" i="1"/>
  <c r="AL142" i="1"/>
  <c r="AK142" i="1"/>
  <c r="AJ142" i="1"/>
  <c r="Y141" i="1"/>
  <c r="AX139" i="1" s="1"/>
  <c r="X141" i="1"/>
  <c r="W141" i="1"/>
  <c r="V141" i="1"/>
  <c r="AC140" i="1"/>
  <c r="AA140" i="1"/>
  <c r="AD139" i="1"/>
  <c r="J139" i="1" s="1"/>
  <c r="AB141" i="1"/>
  <c r="BA139" i="1" s="1"/>
  <c r="Z141" i="1"/>
  <c r="AY139" i="1" s="1"/>
  <c r="M139" i="1"/>
  <c r="H139" i="1"/>
  <c r="W132" i="1"/>
  <c r="Y131" i="1"/>
  <c r="X131" i="1"/>
  <c r="W131" i="1"/>
  <c r="V131" i="1"/>
  <c r="Y130" i="1"/>
  <c r="X130" i="1"/>
  <c r="V130" i="1"/>
  <c r="W129" i="1"/>
  <c r="W128" i="1"/>
  <c r="AS126" i="1"/>
  <c r="AR126" i="1"/>
  <c r="AQ126" i="1"/>
  <c r="AP126" i="1"/>
  <c r="AO126" i="1"/>
  <c r="AN126" i="1"/>
  <c r="AM126" i="1"/>
  <c r="AL126" i="1"/>
  <c r="AK126" i="1"/>
  <c r="AJ126" i="1"/>
  <c r="Y125" i="1"/>
  <c r="AX123" i="1" s="1"/>
  <c r="AX124" i="1" s="1"/>
  <c r="AX125" i="1" s="1"/>
  <c r="X125" i="1"/>
  <c r="AW123" i="1" s="1"/>
  <c r="AW124" i="1" s="1"/>
  <c r="AW125" i="1" s="1"/>
  <c r="W125" i="1"/>
  <c r="AV123" i="1" s="1"/>
  <c r="AV124" i="1" s="1"/>
  <c r="AV125" i="1" s="1"/>
  <c r="V125" i="1"/>
  <c r="AU123" i="1" s="1"/>
  <c r="AU124" i="1" s="1"/>
  <c r="AU125" i="1" s="1"/>
  <c r="AC124" i="1"/>
  <c r="AB124" i="1"/>
  <c r="AA124" i="1"/>
  <c r="Z124" i="1"/>
  <c r="AD123" i="1"/>
  <c r="M123" i="1"/>
  <c r="Y122" i="1"/>
  <c r="X122" i="1"/>
  <c r="W122" i="1"/>
  <c r="V122" i="1"/>
  <c r="AC121" i="1"/>
  <c r="AA121" i="1"/>
  <c r="AF120" i="1"/>
  <c r="AD120" i="1" s="1"/>
  <c r="J120" i="1" s="1"/>
  <c r="AB122" i="1"/>
  <c r="Z122" i="1"/>
  <c r="M120" i="1"/>
  <c r="Y119" i="1"/>
  <c r="X119" i="1"/>
  <c r="AW117" i="1" s="1"/>
  <c r="AW118" i="1" s="1"/>
  <c r="W119" i="1"/>
  <c r="AV117" i="1" s="1"/>
  <c r="AV118" i="1" s="1"/>
  <c r="V119" i="1"/>
  <c r="AC118" i="1"/>
  <c r="AB118" i="1"/>
  <c r="AA118" i="1"/>
  <c r="Z118" i="1"/>
  <c r="AF117" i="1"/>
  <c r="AD117" i="1" s="1"/>
  <c r="J117" i="1" s="1"/>
  <c r="M117" i="1"/>
  <c r="Y116" i="1"/>
  <c r="AX114" i="1" s="1"/>
  <c r="X116" i="1"/>
  <c r="AW114" i="1" s="1"/>
  <c r="W116" i="1"/>
  <c r="AV114" i="1" s="1"/>
  <c r="V116" i="1"/>
  <c r="AU114" i="1" s="1"/>
  <c r="AC115" i="1"/>
  <c r="AB115" i="1"/>
  <c r="AA115" i="1"/>
  <c r="Z115" i="1"/>
  <c r="AD114" i="1"/>
  <c r="S114" i="1"/>
  <c r="Q114" i="1"/>
  <c r="M114" i="1"/>
  <c r="Y113" i="1"/>
  <c r="AX111" i="1" s="1"/>
  <c r="X113" i="1"/>
  <c r="AW111" i="1" s="1"/>
  <c r="W113" i="1"/>
  <c r="AV111" i="1" s="1"/>
  <c r="V113" i="1"/>
  <c r="AU111" i="1" s="1"/>
  <c r="AC112" i="1"/>
  <c r="AB112" i="1"/>
  <c r="AA112" i="1"/>
  <c r="Z112" i="1"/>
  <c r="AF111" i="1"/>
  <c r="AD111" i="1" s="1"/>
  <c r="AB113" i="1"/>
  <c r="BA111" i="1" s="1"/>
  <c r="Q111" i="1"/>
  <c r="M111" i="1"/>
  <c r="Y110" i="1"/>
  <c r="AX108" i="1" s="1"/>
  <c r="X110" i="1"/>
  <c r="AW108" i="1" s="1"/>
  <c r="W110" i="1"/>
  <c r="AV108" i="1" s="1"/>
  <c r="V110" i="1"/>
  <c r="AU108" i="1" s="1"/>
  <c r="AC109" i="1"/>
  <c r="AB109" i="1"/>
  <c r="AA109" i="1"/>
  <c r="Z109" i="1"/>
  <c r="AF108" i="1"/>
  <c r="AD108" i="1" s="1"/>
  <c r="AA110" i="1"/>
  <c r="AZ108" i="1" s="1"/>
  <c r="Z110" i="1"/>
  <c r="AY108" i="1" s="1"/>
  <c r="M108" i="1"/>
  <c r="Y107" i="1"/>
  <c r="AX105" i="1" s="1"/>
  <c r="X107" i="1"/>
  <c r="AW105" i="1" s="1"/>
  <c r="W107" i="1"/>
  <c r="AV105" i="1" s="1"/>
  <c r="V107" i="1"/>
  <c r="AU105" i="1" s="1"/>
  <c r="AC106" i="1"/>
  <c r="AB106" i="1"/>
  <c r="AA106" i="1"/>
  <c r="Z106" i="1"/>
  <c r="AF105" i="1"/>
  <c r="AD105" i="1" s="1"/>
  <c r="M105" i="1"/>
  <c r="Y104" i="1"/>
  <c r="AX102" i="1" s="1"/>
  <c r="X104" i="1"/>
  <c r="AW102" i="1" s="1"/>
  <c r="AW103" i="1" s="1"/>
  <c r="AW104" i="1" s="1"/>
  <c r="W104" i="1"/>
  <c r="AV102" i="1" s="1"/>
  <c r="V104" i="1"/>
  <c r="AU102" i="1" s="1"/>
  <c r="AU103" i="1" s="1"/>
  <c r="AC103" i="1"/>
  <c r="AB103" i="1"/>
  <c r="AA103" i="1"/>
  <c r="Z103" i="1"/>
  <c r="AF102" i="1"/>
  <c r="AD102" i="1" s="1"/>
  <c r="S102" i="1"/>
  <c r="Q102" i="1"/>
  <c r="Y92" i="1"/>
  <c r="X92" i="1"/>
  <c r="W92" i="1"/>
  <c r="V92" i="1"/>
  <c r="Y91" i="1"/>
  <c r="X91" i="1"/>
  <c r="W91" i="1"/>
  <c r="V91" i="1"/>
  <c r="AS87" i="1"/>
  <c r="AR87" i="1"/>
  <c r="AQ87" i="1"/>
  <c r="AP87" i="1"/>
  <c r="AO87" i="1"/>
  <c r="AN87" i="1"/>
  <c r="AM87" i="1"/>
  <c r="AL87" i="1"/>
  <c r="AK87" i="1"/>
  <c r="AJ87" i="1"/>
  <c r="C87" i="1"/>
  <c r="C126" i="1" s="1"/>
  <c r="C142" i="1" s="1"/>
  <c r="C194" i="1" s="1"/>
  <c r="C255" i="1" s="1"/>
  <c r="C301" i="1" s="1"/>
  <c r="C323" i="1" s="1"/>
  <c r="C357" i="1" s="1"/>
  <c r="C396" i="1" s="1"/>
  <c r="C439" i="1" s="1"/>
  <c r="C473" i="1" s="1"/>
  <c r="C537" i="1" s="1"/>
  <c r="C616" i="1" s="1"/>
  <c r="C650" i="1" s="1"/>
  <c r="C669" i="1" s="1"/>
  <c r="C711" i="1" s="1"/>
  <c r="Y86" i="1"/>
  <c r="AX84" i="1" s="1"/>
  <c r="AX85" i="1" s="1"/>
  <c r="X86" i="1"/>
  <c r="AW84" i="1" s="1"/>
  <c r="AW85" i="1" s="1"/>
  <c r="W86" i="1"/>
  <c r="AV84" i="1" s="1"/>
  <c r="AV85" i="1" s="1"/>
  <c r="V86" i="1"/>
  <c r="AU84" i="1" s="1"/>
  <c r="AU85" i="1" s="1"/>
  <c r="AA85" i="1"/>
  <c r="Z85" i="1"/>
  <c r="AD84" i="1"/>
  <c r="AC86" i="1"/>
  <c r="BB84" i="1" s="1"/>
  <c r="BB85" i="1" s="1"/>
  <c r="AB86" i="1"/>
  <c r="BA84" i="1" s="1"/>
  <c r="BA85" i="1" s="1"/>
  <c r="M84" i="1"/>
  <c r="Y83" i="1"/>
  <c r="AX81" i="1" s="1"/>
  <c r="AX82" i="1" s="1"/>
  <c r="X83" i="1"/>
  <c r="AW81" i="1" s="1"/>
  <c r="AW82" i="1" s="1"/>
  <c r="W83" i="1"/>
  <c r="AV81" i="1" s="1"/>
  <c r="AV82" i="1" s="1"/>
  <c r="V83" i="1"/>
  <c r="AU81" i="1" s="1"/>
  <c r="AU82" i="1" s="1"/>
  <c r="AA82" i="1"/>
  <c r="AB82" i="1" s="1"/>
  <c r="Z82" i="1"/>
  <c r="AD81" i="1"/>
  <c r="AA83" i="1"/>
  <c r="AZ81" i="1" s="1"/>
  <c r="AZ82" i="1" s="1"/>
  <c r="M81" i="1"/>
  <c r="Y80" i="1"/>
  <c r="AX78" i="1" s="1"/>
  <c r="AX79" i="1" s="1"/>
  <c r="X80" i="1"/>
  <c r="AW78" i="1" s="1"/>
  <c r="AW79" i="1" s="1"/>
  <c r="W80" i="1"/>
  <c r="AV78" i="1" s="1"/>
  <c r="AV79" i="1" s="1"/>
  <c r="V80" i="1"/>
  <c r="AU78" i="1" s="1"/>
  <c r="AU79" i="1" s="1"/>
  <c r="AD78" i="1"/>
  <c r="AC80" i="1"/>
  <c r="BB78" i="1" s="1"/>
  <c r="BB79" i="1" s="1"/>
  <c r="AB80" i="1"/>
  <c r="BA78" i="1" s="1"/>
  <c r="BA79" i="1" s="1"/>
  <c r="AA80" i="1"/>
  <c r="AZ78" i="1" s="1"/>
  <c r="AZ79" i="1" s="1"/>
  <c r="Z80" i="1"/>
  <c r="AY78" i="1" s="1"/>
  <c r="AY79" i="1" s="1"/>
  <c r="M78" i="1"/>
  <c r="Y77" i="1"/>
  <c r="AX75" i="1" s="1"/>
  <c r="AX76" i="1" s="1"/>
  <c r="AX77" i="1" s="1"/>
  <c r="AX87" i="1" s="1"/>
  <c r="X77" i="1"/>
  <c r="AW75" i="1" s="1"/>
  <c r="AW76" i="1" s="1"/>
  <c r="W77" i="1"/>
  <c r="AV75" i="1" s="1"/>
  <c r="AV76" i="1" s="1"/>
  <c r="V77" i="1"/>
  <c r="AU75" i="1" s="1"/>
  <c r="AU76" i="1" s="1"/>
  <c r="AC76" i="1"/>
  <c r="AB76" i="1"/>
  <c r="AA76" i="1"/>
  <c r="Z76" i="1"/>
  <c r="AD75" i="1"/>
  <c r="M75" i="1"/>
  <c r="Y67" i="1"/>
  <c r="X67" i="1"/>
  <c r="W67" i="1"/>
  <c r="V67" i="1"/>
  <c r="Y66" i="1"/>
  <c r="X66" i="1"/>
  <c r="W66" i="1"/>
  <c r="V66" i="1"/>
  <c r="AS62" i="1"/>
  <c r="AR62" i="1"/>
  <c r="AQ62" i="1"/>
  <c r="AP62" i="1"/>
  <c r="AO62" i="1"/>
  <c r="AN62" i="1"/>
  <c r="AM62" i="1"/>
  <c r="AL62" i="1"/>
  <c r="AK62" i="1"/>
  <c r="AJ62" i="1"/>
  <c r="Y61" i="1"/>
  <c r="AX59" i="1" s="1"/>
  <c r="AX60" i="1" s="1"/>
  <c r="AX61" i="1" s="1"/>
  <c r="X61" i="1"/>
  <c r="AW59" i="1" s="1"/>
  <c r="AW60" i="1" s="1"/>
  <c r="AW61" i="1" s="1"/>
  <c r="W61" i="1"/>
  <c r="AV59" i="1" s="1"/>
  <c r="AV60" i="1" s="1"/>
  <c r="AV61" i="1" s="1"/>
  <c r="V61" i="1"/>
  <c r="AU59" i="1" s="1"/>
  <c r="AU60" i="1" s="1"/>
  <c r="AU61" i="1" s="1"/>
  <c r="AC60" i="1"/>
  <c r="AB60" i="1"/>
  <c r="AA60" i="1"/>
  <c r="Z60" i="1"/>
  <c r="AD59" i="1"/>
  <c r="M59" i="1"/>
  <c r="X58" i="1"/>
  <c r="AW56" i="1" s="1"/>
  <c r="AW57" i="1" s="1"/>
  <c r="W58" i="1"/>
  <c r="AV56" i="1" s="1"/>
  <c r="AV57" i="1" s="1"/>
  <c r="V58" i="1"/>
  <c r="AU56" i="1" s="1"/>
  <c r="AU57" i="1" s="1"/>
  <c r="Y57" i="1"/>
  <c r="AC57" i="1" s="1"/>
  <c r="AD56" i="1"/>
  <c r="AB58" i="1"/>
  <c r="BA56" i="1" s="1"/>
  <c r="BA57" i="1" s="1"/>
  <c r="AA58" i="1"/>
  <c r="AZ56" i="1" s="1"/>
  <c r="AZ57" i="1" s="1"/>
  <c r="Z58" i="1"/>
  <c r="AY56" i="1" s="1"/>
  <c r="AY57" i="1" s="1"/>
  <c r="M56" i="1"/>
  <c r="W55" i="1"/>
  <c r="AV53" i="1" s="1"/>
  <c r="AV54" i="1" s="1"/>
  <c r="V55" i="1"/>
  <c r="AU53" i="1" s="1"/>
  <c r="AU54" i="1" s="1"/>
  <c r="AA54" i="1"/>
  <c r="AC54" i="1" s="1"/>
  <c r="AD53" i="1"/>
  <c r="Z55" i="1"/>
  <c r="AY53" i="1" s="1"/>
  <c r="AY54" i="1" s="1"/>
  <c r="X55" i="1"/>
  <c r="AW53" i="1" s="1"/>
  <c r="AW54" i="1" s="1"/>
  <c r="M53" i="1"/>
  <c r="Y52" i="1"/>
  <c r="AX50" i="1" s="1"/>
  <c r="AX51" i="1" s="1"/>
  <c r="X52" i="1"/>
  <c r="AW50" i="1" s="1"/>
  <c r="AW51" i="1" s="1"/>
  <c r="AW52" i="1" s="1"/>
  <c r="AW62" i="1" s="1"/>
  <c r="W52" i="1"/>
  <c r="AV50" i="1" s="1"/>
  <c r="AV51" i="1" s="1"/>
  <c r="V52" i="1"/>
  <c r="AU50" i="1" s="1"/>
  <c r="AU51" i="1" s="1"/>
  <c r="AC51" i="1"/>
  <c r="AB51" i="1"/>
  <c r="AA51" i="1"/>
  <c r="Z51" i="1"/>
  <c r="AD50" i="1"/>
  <c r="M50" i="1"/>
  <c r="AD40" i="1"/>
  <c r="Y40" i="1"/>
  <c r="X40" i="1"/>
  <c r="AB40" i="1" s="1"/>
  <c r="V40" i="1"/>
  <c r="M40" i="1"/>
  <c r="X38" i="1"/>
  <c r="X728" i="1" s="1"/>
  <c r="W38" i="1"/>
  <c r="W41" i="1" s="1"/>
  <c r="AA41" i="1" s="1"/>
  <c r="V38" i="1"/>
  <c r="V41" i="1" s="1"/>
  <c r="Z41" i="1" s="1"/>
  <c r="AD37" i="1"/>
  <c r="Y37" i="1"/>
  <c r="X37" i="1"/>
  <c r="V37" i="1"/>
  <c r="Z37" i="1" s="1"/>
  <c r="M37" i="1"/>
  <c r="B28" i="1"/>
  <c r="X27" i="1"/>
  <c r="A27" i="1" s="1"/>
  <c r="W27" i="1"/>
  <c r="V27" i="1"/>
  <c r="N27" i="1"/>
  <c r="L27" i="1"/>
  <c r="A26" i="1"/>
  <c r="X25" i="1"/>
  <c r="W25" i="1"/>
  <c r="V25" i="1"/>
  <c r="N25" i="1"/>
  <c r="L25" i="1"/>
  <c r="A25" i="1"/>
  <c r="X24" i="1"/>
  <c r="A24" i="1" s="1"/>
  <c r="W24" i="1"/>
  <c r="V24" i="1"/>
  <c r="N24" i="1"/>
  <c r="L24" i="1"/>
  <c r="X23" i="1"/>
  <c r="A23" i="1" s="1"/>
  <c r="W23" i="1"/>
  <c r="V23" i="1"/>
  <c r="N23" i="1"/>
  <c r="L23" i="1"/>
  <c r="X22" i="1"/>
  <c r="A22" i="1" s="1"/>
  <c r="W22" i="1"/>
  <c r="V22" i="1"/>
  <c r="N22" i="1"/>
  <c r="L22" i="1"/>
  <c r="X21" i="1"/>
  <c r="A21" i="1" s="1"/>
  <c r="W21" i="1"/>
  <c r="V21" i="1"/>
  <c r="N21" i="1"/>
  <c r="K21" i="1"/>
  <c r="K28" i="1" s="1"/>
  <c r="X20" i="1"/>
  <c r="A20" i="1" s="1"/>
  <c r="W20" i="1"/>
  <c r="V20" i="1"/>
  <c r="N20" i="1"/>
  <c r="L20" i="1"/>
  <c r="X19" i="1"/>
  <c r="A19" i="1" s="1"/>
  <c r="W19" i="1"/>
  <c r="V19" i="1"/>
  <c r="N19" i="1"/>
  <c r="A18" i="1"/>
  <c r="X17" i="1"/>
  <c r="A17" i="1" s="1"/>
  <c r="W17" i="1"/>
  <c r="V17" i="1"/>
  <c r="N17" i="1"/>
  <c r="L17" i="1"/>
  <c r="X16" i="1"/>
  <c r="A16" i="1" s="1"/>
  <c r="W16" i="1"/>
  <c r="V16" i="1"/>
  <c r="N16" i="1"/>
  <c r="L16" i="1"/>
  <c r="X15" i="1"/>
  <c r="A15" i="1" s="1"/>
  <c r="W15" i="1"/>
  <c r="V15" i="1"/>
  <c r="N15" i="1"/>
  <c r="L15" i="1"/>
  <c r="X14" i="1"/>
  <c r="A14" i="1" s="1"/>
  <c r="W14" i="1"/>
  <c r="V14" i="1"/>
  <c r="N14" i="1"/>
  <c r="L14" i="1"/>
  <c r="X13" i="1"/>
  <c r="A13" i="1" s="1"/>
  <c r="W13" i="1"/>
  <c r="V13" i="1"/>
  <c r="N13" i="1"/>
  <c r="X12" i="1"/>
  <c r="A12" i="1" s="1"/>
  <c r="W12" i="1"/>
  <c r="V12" i="1"/>
  <c r="N12" i="1"/>
  <c r="L12" i="1"/>
  <c r="X11" i="1"/>
  <c r="A11" i="1" s="1"/>
  <c r="W11" i="1"/>
  <c r="V11" i="1"/>
  <c r="N11" i="1"/>
  <c r="L11" i="1"/>
  <c r="A10" i="1"/>
  <c r="X9" i="1"/>
  <c r="A9" i="1" s="1"/>
  <c r="W9" i="1"/>
  <c r="V9" i="1"/>
  <c r="N9" i="1"/>
  <c r="L9" i="1"/>
  <c r="X8" i="1"/>
  <c r="A8" i="1" s="1"/>
  <c r="W8" i="1"/>
  <c r="V8" i="1"/>
  <c r="N8" i="1"/>
  <c r="L8" i="1"/>
  <c r="AW700" i="1" l="1"/>
  <c r="AV685" i="1"/>
  <c r="AV686" i="1" s="1"/>
  <c r="AV711" i="1" s="1"/>
  <c r="AY665" i="1"/>
  <c r="AY669" i="1" s="1"/>
  <c r="AX665" i="1"/>
  <c r="AX669" i="1" s="1"/>
  <c r="AW631" i="1"/>
  <c r="AW650" i="1" s="1"/>
  <c r="AU573" i="1"/>
  <c r="AV573" i="1"/>
  <c r="AW551" i="1"/>
  <c r="AW552" i="1" s="1"/>
  <c r="AV532" i="1"/>
  <c r="AV533" i="1" s="1"/>
  <c r="AW490" i="1"/>
  <c r="AW488" i="1" s="1"/>
  <c r="AX465" i="1"/>
  <c r="AX466" i="1" s="1"/>
  <c r="AU465" i="1"/>
  <c r="AU466" i="1" s="1"/>
  <c r="AU454" i="1"/>
  <c r="AZ410" i="1"/>
  <c r="AX373" i="1"/>
  <c r="AV244" i="1"/>
  <c r="AV245" i="1" s="1"/>
  <c r="AX217" i="1"/>
  <c r="AX209" i="1" s="1"/>
  <c r="AU171" i="1"/>
  <c r="AX103" i="1"/>
  <c r="AU52" i="1"/>
  <c r="AU62" i="1" s="1"/>
  <c r="AU77" i="1"/>
  <c r="AU87" i="1" s="1"/>
  <c r="Z104" i="1"/>
  <c r="AY102" i="1" s="1"/>
  <c r="AX117" i="1"/>
  <c r="AX118" i="1" s="1"/>
  <c r="AU139" i="1"/>
  <c r="AU140" i="1" s="1"/>
  <c r="AU156" i="1"/>
  <c r="AB172" i="1"/>
  <c r="BA170" i="1" s="1"/>
  <c r="AV171" i="1"/>
  <c r="AW244" i="1"/>
  <c r="AW245" i="1" s="1"/>
  <c r="AX290" i="1"/>
  <c r="AX291" i="1"/>
  <c r="AW410" i="1"/>
  <c r="AW411" i="1" s="1"/>
  <c r="AW439" i="1" s="1"/>
  <c r="AY432" i="1"/>
  <c r="AV454" i="1"/>
  <c r="AX520" i="1"/>
  <c r="AX521" i="1" s="1"/>
  <c r="AB527" i="1"/>
  <c r="BA525" i="1" s="1"/>
  <c r="AX551" i="1"/>
  <c r="AX552" i="1" s="1"/>
  <c r="AC643" i="1"/>
  <c r="BB641" i="1" s="1"/>
  <c r="BB642" i="1" s="1"/>
  <c r="AV52" i="1"/>
  <c r="AV62" i="1" s="1"/>
  <c r="AV77" i="1"/>
  <c r="AV87" i="1" s="1"/>
  <c r="AU120" i="1"/>
  <c r="AU121" i="1" s="1"/>
  <c r="AU122" i="1" s="1"/>
  <c r="AY140" i="1"/>
  <c r="AV139" i="1"/>
  <c r="AV140" i="1" s="1"/>
  <c r="AB157" i="1"/>
  <c r="BA155" i="1" s="1"/>
  <c r="AW171" i="1"/>
  <c r="AU187" i="1"/>
  <c r="AX244" i="1"/>
  <c r="AX245" i="1" s="1"/>
  <c r="AX315" i="1"/>
  <c r="AX316" i="1" s="1"/>
  <c r="AX323" i="1" s="1"/>
  <c r="AU373" i="1"/>
  <c r="AU374" i="1" s="1"/>
  <c r="AU396" i="1" s="1"/>
  <c r="AX410" i="1"/>
  <c r="AX411" i="1" s="1"/>
  <c r="AX439" i="1" s="1"/>
  <c r="AW454" i="1"/>
  <c r="BA532" i="1"/>
  <c r="BA533" i="1" s="1"/>
  <c r="AU631" i="1"/>
  <c r="AU650" i="1" s="1"/>
  <c r="AC634" i="1"/>
  <c r="BB632" i="1" s="1"/>
  <c r="BB633" i="1" s="1"/>
  <c r="AA643" i="1"/>
  <c r="AZ641" i="1" s="1"/>
  <c r="AZ642" i="1" s="1"/>
  <c r="BB700" i="1"/>
  <c r="AX700" i="1"/>
  <c r="AC61" i="1"/>
  <c r="BB59" i="1" s="1"/>
  <c r="BB60" i="1" s="1"/>
  <c r="BB61" i="1" s="1"/>
  <c r="AW77" i="1"/>
  <c r="AW87" i="1" s="1"/>
  <c r="AC110" i="1"/>
  <c r="BB108" i="1" s="1"/>
  <c r="AY120" i="1"/>
  <c r="AY121" i="1" s="1"/>
  <c r="AY122" i="1" s="1"/>
  <c r="AV120" i="1"/>
  <c r="AV121" i="1" s="1"/>
  <c r="AV122" i="1" s="1"/>
  <c r="AW139" i="1"/>
  <c r="AW140" i="1" s="1"/>
  <c r="AW156" i="1"/>
  <c r="AC163" i="1"/>
  <c r="BB161" i="1" s="1"/>
  <c r="AX171" i="1"/>
  <c r="AV187" i="1"/>
  <c r="AZ290" i="1"/>
  <c r="AZ291" i="1"/>
  <c r="AA294" i="1"/>
  <c r="AZ292" i="1" s="1"/>
  <c r="AU293" i="1"/>
  <c r="AU294" i="1"/>
  <c r="AU344" i="1"/>
  <c r="AV373" i="1"/>
  <c r="AV374" i="1" s="1"/>
  <c r="AV396" i="1" s="1"/>
  <c r="AX454" i="1"/>
  <c r="AU490" i="1"/>
  <c r="AU488" i="1" s="1"/>
  <c r="AV631" i="1"/>
  <c r="AV650" i="1" s="1"/>
  <c r="BA665" i="1"/>
  <c r="BA669" i="1" s="1"/>
  <c r="AU685" i="1"/>
  <c r="AW120" i="1"/>
  <c r="AW121" i="1" s="1"/>
  <c r="AW122" i="1" s="1"/>
  <c r="BA140" i="1"/>
  <c r="AX140" i="1"/>
  <c r="AX156" i="1"/>
  <c r="Z172" i="1"/>
  <c r="AY170" i="1" s="1"/>
  <c r="AU217" i="1"/>
  <c r="AA242" i="1"/>
  <c r="AZ240" i="1" s="1"/>
  <c r="AZ241" i="1" s="1"/>
  <c r="AZ242" i="1" s="1"/>
  <c r="AU269" i="1"/>
  <c r="AU270" i="1"/>
  <c r="AV293" i="1"/>
  <c r="AV294" i="1"/>
  <c r="AU350" i="1"/>
  <c r="AW373" i="1"/>
  <c r="AW374" i="1" s="1"/>
  <c r="AW396" i="1" s="1"/>
  <c r="AV490" i="1"/>
  <c r="AU532" i="1"/>
  <c r="AU533" i="1" s="1"/>
  <c r="BB669" i="1"/>
  <c r="BC663" i="1"/>
  <c r="BD663" i="1" s="1"/>
  <c r="Z77" i="1"/>
  <c r="AY75" i="1" s="1"/>
  <c r="AY76" i="1" s="1"/>
  <c r="BA120" i="1"/>
  <c r="BA121" i="1" s="1"/>
  <c r="BA122" i="1" s="1"/>
  <c r="AX120" i="1"/>
  <c r="AX121" i="1" s="1"/>
  <c r="AX122" i="1" s="1"/>
  <c r="AV217" i="1"/>
  <c r="AV209" i="1" s="1"/>
  <c r="AV255" i="1" s="1"/>
  <c r="AB270" i="1"/>
  <c r="BA268" i="1" s="1"/>
  <c r="AV269" i="1"/>
  <c r="AV270" i="1"/>
  <c r="Z291" i="1"/>
  <c r="AY289" i="1" s="1"/>
  <c r="AW293" i="1"/>
  <c r="AW294" i="1"/>
  <c r="AW344" i="1"/>
  <c r="AX374" i="1"/>
  <c r="AX396" i="1" s="1"/>
  <c r="AU432" i="1"/>
  <c r="AV465" i="1"/>
  <c r="AV466" i="1" s="1"/>
  <c r="AX631" i="1"/>
  <c r="AX650" i="1" s="1"/>
  <c r="AV103" i="1"/>
  <c r="AV104" i="1" s="1"/>
  <c r="AU117" i="1"/>
  <c r="AU118" i="1" s="1"/>
  <c r="AU104" i="1" s="1"/>
  <c r="AU126" i="1" s="1"/>
  <c r="AW217" i="1"/>
  <c r="AW209" i="1" s="1"/>
  <c r="AB248" i="1"/>
  <c r="BA246" i="1" s="1"/>
  <c r="BA247" i="1" s="1"/>
  <c r="AW269" i="1"/>
  <c r="AW270" i="1"/>
  <c r="AU290" i="1"/>
  <c r="AU291" i="1"/>
  <c r="AX293" i="1"/>
  <c r="AX294" i="1"/>
  <c r="AX344" i="1"/>
  <c r="AW350" i="1"/>
  <c r="AB414" i="1"/>
  <c r="BA412" i="1" s="1"/>
  <c r="AV432" i="1"/>
  <c r="AV439" i="1" s="1"/>
  <c r="AV488" i="1"/>
  <c r="AX490" i="1"/>
  <c r="AU520" i="1"/>
  <c r="AU521" i="1" s="1"/>
  <c r="AW532" i="1"/>
  <c r="AW533" i="1" s="1"/>
  <c r="AU551" i="1"/>
  <c r="AU552" i="1" s="1"/>
  <c r="AW573" i="1"/>
  <c r="AC585" i="1"/>
  <c r="BB583" i="1" s="1"/>
  <c r="BB584" i="1" s="1"/>
  <c r="AU665" i="1"/>
  <c r="AU669" i="1" s="1"/>
  <c r="AW126" i="1"/>
  <c r="AX269" i="1"/>
  <c r="AX270" i="1"/>
  <c r="AV290" i="1"/>
  <c r="AV291" i="1"/>
  <c r="AU410" i="1"/>
  <c r="AU411" i="1" s="1"/>
  <c r="AV520" i="1"/>
  <c r="AV521" i="1" s="1"/>
  <c r="AB552" i="1"/>
  <c r="BA550" i="1" s="1"/>
  <c r="AV551" i="1"/>
  <c r="AV552" i="1" s="1"/>
  <c r="AB561" i="1"/>
  <c r="BA559" i="1" s="1"/>
  <c r="AX573" i="1"/>
  <c r="AV665" i="1"/>
  <c r="AV669" i="1" s="1"/>
  <c r="AU700" i="1"/>
  <c r="AX104" i="1"/>
  <c r="AX126" i="1" s="1"/>
  <c r="AW290" i="1"/>
  <c r="AW291" i="1"/>
  <c r="AA107" i="1"/>
  <c r="AZ105" i="1" s="1"/>
  <c r="Z160" i="1"/>
  <c r="AY158" i="1" s="1"/>
  <c r="AA344" i="1"/>
  <c r="AZ342" i="1" s="1"/>
  <c r="AZ343" i="1" s="1"/>
  <c r="AA527" i="1"/>
  <c r="AZ525" i="1" s="1"/>
  <c r="AA707" i="1"/>
  <c r="AZ705" i="1" s="1"/>
  <c r="AA125" i="1"/>
  <c r="AZ123" i="1" s="1"/>
  <c r="AZ124" i="1" s="1"/>
  <c r="AZ125" i="1" s="1"/>
  <c r="F139" i="1"/>
  <c r="AA178" i="1"/>
  <c r="AZ176" i="1" s="1"/>
  <c r="AB319" i="1"/>
  <c r="BA317" i="1" s="1"/>
  <c r="Z322" i="1"/>
  <c r="AY320" i="1" s="1"/>
  <c r="AC113" i="1"/>
  <c r="BB111" i="1" s="1"/>
  <c r="AC116" i="1"/>
  <c r="BB114" i="1" s="1"/>
  <c r="Z157" i="1"/>
  <c r="AY155" i="1" s="1"/>
  <c r="AB291" i="1"/>
  <c r="BA289" i="1" s="1"/>
  <c r="AC472" i="1"/>
  <c r="BB470" i="1" s="1"/>
  <c r="AC530" i="1"/>
  <c r="BB528" i="1" s="1"/>
  <c r="BB529" i="1" s="1"/>
  <c r="AP712" i="1"/>
  <c r="U736" i="1" s="1"/>
  <c r="AA163" i="1"/>
  <c r="AZ161" i="1" s="1"/>
  <c r="AC178" i="1"/>
  <c r="BB176" i="1" s="1"/>
  <c r="AA184" i="1"/>
  <c r="AZ182" i="1" s="1"/>
  <c r="Z227" i="1"/>
  <c r="AY225" i="1" s="1"/>
  <c r="AB233" i="1"/>
  <c r="BA231" i="1" s="1"/>
  <c r="Z319" i="1"/>
  <c r="AY317" i="1" s="1"/>
  <c r="AY315" i="1" s="1"/>
  <c r="AY316" i="1" s="1"/>
  <c r="AY323" i="1" s="1"/>
  <c r="AD415" i="1"/>
  <c r="Z86" i="1"/>
  <c r="AY84" i="1" s="1"/>
  <c r="AY85" i="1" s="1"/>
  <c r="Z169" i="1"/>
  <c r="AY167" i="1" s="1"/>
  <c r="AA227" i="1"/>
  <c r="AZ225" i="1" s="1"/>
  <c r="AB294" i="1"/>
  <c r="BA292" i="1" s="1"/>
  <c r="AA338" i="1"/>
  <c r="AZ336" i="1" s="1"/>
  <c r="AC107" i="1"/>
  <c r="BB105" i="1" s="1"/>
  <c r="AC157" i="1"/>
  <c r="BB155" i="1" s="1"/>
  <c r="AC254" i="1"/>
  <c r="BB252" i="1" s="1"/>
  <c r="BB253" i="1" s="1"/>
  <c r="BB254" i="1" s="1"/>
  <c r="BC252" i="1" s="1"/>
  <c r="Z270" i="1"/>
  <c r="AY268" i="1" s="1"/>
  <c r="AC270" i="1"/>
  <c r="BB268" i="1" s="1"/>
  <c r="Y444" i="1"/>
  <c r="AC536" i="1"/>
  <c r="BB534" i="1" s="1"/>
  <c r="BB535" i="1" s="1"/>
  <c r="Z552" i="1"/>
  <c r="AY550" i="1" s="1"/>
  <c r="AC640" i="1"/>
  <c r="BB638" i="1" s="1"/>
  <c r="BB639" i="1" s="1"/>
  <c r="AB52" i="1"/>
  <c r="BA50" i="1" s="1"/>
  <c r="BA51" i="1" s="1"/>
  <c r="Y58" i="1"/>
  <c r="AX56" i="1" s="1"/>
  <c r="AX57" i="1" s="1"/>
  <c r="AA61" i="1"/>
  <c r="AZ59" i="1" s="1"/>
  <c r="AZ60" i="1" s="1"/>
  <c r="AZ61" i="1" s="1"/>
  <c r="AB104" i="1"/>
  <c r="BA102" i="1" s="1"/>
  <c r="AB169" i="1"/>
  <c r="BA167" i="1" s="1"/>
  <c r="AC239" i="1"/>
  <c r="BB237" i="1" s="1"/>
  <c r="AA356" i="1"/>
  <c r="AZ354" i="1" s="1"/>
  <c r="AZ355" i="1" s="1"/>
  <c r="AB454" i="1"/>
  <c r="BA452" i="1" s="1"/>
  <c r="BA453" i="1" s="1"/>
  <c r="AA500" i="1"/>
  <c r="AZ498" i="1" s="1"/>
  <c r="AB530" i="1"/>
  <c r="BA528" i="1" s="1"/>
  <c r="BA529" i="1" s="1"/>
  <c r="Z615" i="1"/>
  <c r="AY613" i="1" s="1"/>
  <c r="AY614" i="1" s="1"/>
  <c r="AY573" i="1" s="1"/>
  <c r="AQ712" i="1"/>
  <c r="U750" i="1" s="1"/>
  <c r="AC236" i="1"/>
  <c r="BB234" i="1" s="1"/>
  <c r="AA285" i="1"/>
  <c r="AZ283" i="1" s="1"/>
  <c r="AZ284" i="1" s="1"/>
  <c r="AC347" i="1"/>
  <c r="BB345" i="1" s="1"/>
  <c r="BB346" i="1" s="1"/>
  <c r="Z380" i="1"/>
  <c r="AY378" i="1" s="1"/>
  <c r="AC395" i="1"/>
  <c r="BB393" i="1" s="1"/>
  <c r="BB394" i="1" s="1"/>
  <c r="Z411" i="1"/>
  <c r="AY409" i="1" s="1"/>
  <c r="Z414" i="1"/>
  <c r="AY412" i="1" s="1"/>
  <c r="AA454" i="1"/>
  <c r="AZ452" i="1" s="1"/>
  <c r="AZ453" i="1" s="1"/>
  <c r="AC567" i="1"/>
  <c r="BB565" i="1" s="1"/>
  <c r="Z646" i="1"/>
  <c r="AY644" i="1" s="1"/>
  <c r="AY645" i="1" s="1"/>
  <c r="AB646" i="1"/>
  <c r="BA644" i="1" s="1"/>
  <c r="BA645" i="1" s="1"/>
  <c r="AB707" i="1"/>
  <c r="BA705" i="1" s="1"/>
  <c r="AC122" i="1"/>
  <c r="BB120" i="1" s="1"/>
  <c r="BB121" i="1" s="1"/>
  <c r="BB122" i="1" s="1"/>
  <c r="BC120" i="1" s="1"/>
  <c r="Z187" i="1"/>
  <c r="AY185" i="1" s="1"/>
  <c r="AY186" i="1" s="1"/>
  <c r="AY187" i="1" s="1"/>
  <c r="AC344" i="1"/>
  <c r="BB342" i="1" s="1"/>
  <c r="BB343" i="1" s="1"/>
  <c r="AB377" i="1"/>
  <c r="BA375" i="1" s="1"/>
  <c r="AB395" i="1"/>
  <c r="BA393" i="1" s="1"/>
  <c r="BA394" i="1" s="1"/>
  <c r="Z454" i="1"/>
  <c r="AY452" i="1" s="1"/>
  <c r="AY453" i="1" s="1"/>
  <c r="AA463" i="1"/>
  <c r="AZ461" i="1" s="1"/>
  <c r="AZ462" i="1" s="1"/>
  <c r="AA466" i="1"/>
  <c r="AZ464" i="1" s="1"/>
  <c r="AZ465" i="1" s="1"/>
  <c r="AZ466" i="1" s="1"/>
  <c r="AC646" i="1"/>
  <c r="BB644" i="1" s="1"/>
  <c r="BB645" i="1" s="1"/>
  <c r="AB649" i="1"/>
  <c r="BA647" i="1" s="1"/>
  <c r="BA648" i="1" s="1"/>
  <c r="AC141" i="1"/>
  <c r="BB139" i="1" s="1"/>
  <c r="BB140" i="1" s="1"/>
  <c r="BB141" i="1" s="1"/>
  <c r="Z190" i="1"/>
  <c r="AY188" i="1" s="1"/>
  <c r="AY189" i="1" s="1"/>
  <c r="W37" i="1"/>
  <c r="AA515" i="1"/>
  <c r="AB567" i="1"/>
  <c r="BA565" i="1" s="1"/>
  <c r="Z83" i="1"/>
  <c r="AY81" i="1" s="1"/>
  <c r="AY82" i="1" s="1"/>
  <c r="AA157" i="1"/>
  <c r="AZ155" i="1" s="1"/>
  <c r="AC169" i="1"/>
  <c r="BB167" i="1" s="1"/>
  <c r="Z175" i="1"/>
  <c r="AY173" i="1" s="1"/>
  <c r="AB178" i="1"/>
  <c r="BA176" i="1" s="1"/>
  <c r="Z181" i="1"/>
  <c r="AY179" i="1" s="1"/>
  <c r="AB227" i="1"/>
  <c r="BA225" i="1" s="1"/>
  <c r="AA248" i="1"/>
  <c r="AZ246" i="1" s="1"/>
  <c r="AZ247" i="1" s="1"/>
  <c r="AB338" i="1"/>
  <c r="BA336" i="1" s="1"/>
  <c r="AC380" i="1"/>
  <c r="BB378" i="1" s="1"/>
  <c r="Z386" i="1"/>
  <c r="AY384" i="1" s="1"/>
  <c r="Y400" i="1"/>
  <c r="Z426" i="1"/>
  <c r="AY424" i="1" s="1"/>
  <c r="AY425" i="1" s="1"/>
  <c r="AC463" i="1"/>
  <c r="BB461" i="1" s="1"/>
  <c r="BB462" i="1" s="1"/>
  <c r="AC500" i="1"/>
  <c r="BB498" i="1" s="1"/>
  <c r="AC558" i="1"/>
  <c r="BB556" i="1" s="1"/>
  <c r="W160" i="1"/>
  <c r="AV158" i="1" s="1"/>
  <c r="AV156" i="1" s="1"/>
  <c r="AA166" i="1"/>
  <c r="AZ164" i="1" s="1"/>
  <c r="AB187" i="1"/>
  <c r="BA185" i="1" s="1"/>
  <c r="BA186" i="1" s="1"/>
  <c r="Z215" i="1"/>
  <c r="AY213" i="1" s="1"/>
  <c r="AY214" i="1" s="1"/>
  <c r="AC221" i="1"/>
  <c r="BB219" i="1" s="1"/>
  <c r="Z239" i="1"/>
  <c r="AY237" i="1" s="1"/>
  <c r="W40" i="1"/>
  <c r="AC338" i="1"/>
  <c r="BB336" i="1" s="1"/>
  <c r="AC350" i="1"/>
  <c r="BB348" i="1" s="1"/>
  <c r="BB349" i="1" s="1"/>
  <c r="AB356" i="1"/>
  <c r="BA354" i="1" s="1"/>
  <c r="BA355" i="1" s="1"/>
  <c r="AC383" i="1"/>
  <c r="BB381" i="1" s="1"/>
  <c r="AA426" i="1"/>
  <c r="AZ424" i="1" s="1"/>
  <c r="AZ425" i="1" s="1"/>
  <c r="AZ411" i="1" s="1"/>
  <c r="AC454" i="1"/>
  <c r="BB452" i="1" s="1"/>
  <c r="BB453" i="1" s="1"/>
  <c r="AC457" i="1"/>
  <c r="BB455" i="1" s="1"/>
  <c r="BB456" i="1" s="1"/>
  <c r="AB472" i="1"/>
  <c r="BA470" i="1" s="1"/>
  <c r="AA491" i="1"/>
  <c r="AZ489" i="1" s="1"/>
  <c r="AA506" i="1"/>
  <c r="Z689" i="1"/>
  <c r="AY687" i="1" s="1"/>
  <c r="AY685" i="1" s="1"/>
  <c r="AS712" i="1"/>
  <c r="U756" i="1" s="1"/>
  <c r="AN712" i="1"/>
  <c r="U730" i="1" s="1"/>
  <c r="AC104" i="1"/>
  <c r="BB102" i="1" s="1"/>
  <c r="AB116" i="1"/>
  <c r="BA114" i="1" s="1"/>
  <c r="Z125" i="1"/>
  <c r="AY123" i="1" s="1"/>
  <c r="AY124" i="1" s="1"/>
  <c r="AY125" i="1" s="1"/>
  <c r="AA141" i="1"/>
  <c r="AZ139" i="1" s="1"/>
  <c r="AZ140" i="1" s="1"/>
  <c r="AZ141" i="1" s="1"/>
  <c r="AZ142" i="1" s="1"/>
  <c r="AC172" i="1"/>
  <c r="BB170" i="1" s="1"/>
  <c r="AB175" i="1"/>
  <c r="BA173" i="1" s="1"/>
  <c r="AA209" i="1"/>
  <c r="AZ207" i="1" s="1"/>
  <c r="AZ208" i="1" s="1"/>
  <c r="Z236" i="1"/>
  <c r="AY234" i="1" s="1"/>
  <c r="AA239" i="1"/>
  <c r="AZ237" i="1" s="1"/>
  <c r="AB273" i="1"/>
  <c r="BA271" i="1" s="1"/>
  <c r="BA272" i="1" s="1"/>
  <c r="AB322" i="1"/>
  <c r="BA320" i="1" s="1"/>
  <c r="AA347" i="1"/>
  <c r="AZ345" i="1" s="1"/>
  <c r="AZ346" i="1" s="1"/>
  <c r="AA374" i="1"/>
  <c r="AZ372" i="1" s="1"/>
  <c r="AA380" i="1"/>
  <c r="AZ378" i="1" s="1"/>
  <c r="Z395" i="1"/>
  <c r="AY393" i="1" s="1"/>
  <c r="AY394" i="1" s="1"/>
  <c r="AB491" i="1"/>
  <c r="BA489" i="1" s="1"/>
  <c r="AA503" i="1"/>
  <c r="Z163" i="1"/>
  <c r="AY161" i="1" s="1"/>
  <c r="AC166" i="1"/>
  <c r="BB164" i="1" s="1"/>
  <c r="Z221" i="1"/>
  <c r="AY219" i="1" s="1"/>
  <c r="AC273" i="1"/>
  <c r="BB271" i="1" s="1"/>
  <c r="BB272" i="1" s="1"/>
  <c r="AC322" i="1"/>
  <c r="BB320" i="1" s="1"/>
  <c r="Z341" i="1"/>
  <c r="AY339" i="1" s="1"/>
  <c r="Z344" i="1"/>
  <c r="AY342" i="1" s="1"/>
  <c r="AY343" i="1" s="1"/>
  <c r="AB344" i="1"/>
  <c r="BA342" i="1" s="1"/>
  <c r="BA343" i="1" s="1"/>
  <c r="AB347" i="1"/>
  <c r="BA345" i="1" s="1"/>
  <c r="BA346" i="1" s="1"/>
  <c r="AB350" i="1"/>
  <c r="BA348" i="1" s="1"/>
  <c r="BA349" i="1" s="1"/>
  <c r="BA350" i="1" s="1"/>
  <c r="AC386" i="1"/>
  <c r="BB384" i="1" s="1"/>
  <c r="AA460" i="1"/>
  <c r="AZ458" i="1" s="1"/>
  <c r="AZ459" i="1" s="1"/>
  <c r="Z497" i="1"/>
  <c r="AY495" i="1" s="1"/>
  <c r="AC506" i="1"/>
  <c r="Z512" i="1"/>
  <c r="AY510" i="1" s="1"/>
  <c r="AA521" i="1"/>
  <c r="AZ519" i="1" s="1"/>
  <c r="AA637" i="1"/>
  <c r="AZ635" i="1" s="1"/>
  <c r="AZ636" i="1" s="1"/>
  <c r="V723" i="1"/>
  <c r="X41" i="1"/>
  <c r="AB41" i="1" s="1"/>
  <c r="AB83" i="1"/>
  <c r="BA81" i="1" s="1"/>
  <c r="BA82" i="1" s="1"/>
  <c r="AC82" i="1"/>
  <c r="AC83" i="1" s="1"/>
  <c r="BB81" i="1" s="1"/>
  <c r="BB82" i="1" s="1"/>
  <c r="W39" i="1"/>
  <c r="AA37" i="1"/>
  <c r="N28" i="1"/>
  <c r="W28" i="1"/>
  <c r="V42" i="1"/>
  <c r="AB54" i="1"/>
  <c r="Z107" i="1"/>
  <c r="AY105" i="1" s="1"/>
  <c r="AA160" i="1"/>
  <c r="AZ158" i="1" s="1"/>
  <c r="AB166" i="1"/>
  <c r="BA164" i="1" s="1"/>
  <c r="Z184" i="1"/>
  <c r="AY182" i="1" s="1"/>
  <c r="AA187" i="1"/>
  <c r="AZ185" i="1" s="1"/>
  <c r="AZ186" i="1" s="1"/>
  <c r="AB190" i="1"/>
  <c r="BA188" i="1" s="1"/>
  <c r="BA189" i="1" s="1"/>
  <c r="Z233" i="1"/>
  <c r="AY231" i="1" s="1"/>
  <c r="AB242" i="1"/>
  <c r="BA240" i="1" s="1"/>
  <c r="BA241" i="1" s="1"/>
  <c r="BA242" i="1" s="1"/>
  <c r="AA316" i="1"/>
  <c r="AZ314" i="1" s="1"/>
  <c r="AA319" i="1"/>
  <c r="AZ317" i="1" s="1"/>
  <c r="AA341" i="1"/>
  <c r="AZ339" i="1" s="1"/>
  <c r="Z457" i="1"/>
  <c r="AY455" i="1" s="1"/>
  <c r="AY456" i="1" s="1"/>
  <c r="Z460" i="1"/>
  <c r="AY458" i="1" s="1"/>
  <c r="AY459" i="1" s="1"/>
  <c r="Z463" i="1"/>
  <c r="AY461" i="1" s="1"/>
  <c r="AY462" i="1" s="1"/>
  <c r="X472" i="1"/>
  <c r="AW470" i="1" s="1"/>
  <c r="AW465" i="1" s="1"/>
  <c r="AW466" i="1" s="1"/>
  <c r="Y477" i="1"/>
  <c r="AC491" i="1"/>
  <c r="BB489" i="1" s="1"/>
  <c r="AB512" i="1"/>
  <c r="BA510" i="1" s="1"/>
  <c r="AC512" i="1"/>
  <c r="BB510" i="1" s="1"/>
  <c r="AC515" i="1"/>
  <c r="AA518" i="1"/>
  <c r="AZ516" i="1" s="1"/>
  <c r="AZ517" i="1" s="1"/>
  <c r="AC524" i="1"/>
  <c r="BB522" i="1" s="1"/>
  <c r="X524" i="1"/>
  <c r="AW522" i="1" s="1"/>
  <c r="AW520" i="1" s="1"/>
  <c r="AW521" i="1" s="1"/>
  <c r="Z530" i="1"/>
  <c r="AY528" i="1" s="1"/>
  <c r="AY529" i="1" s="1"/>
  <c r="Z555" i="1"/>
  <c r="AY553" i="1" s="1"/>
  <c r="AA561" i="1"/>
  <c r="AZ559" i="1" s="1"/>
  <c r="AC609" i="1"/>
  <c r="BB607" i="1" s="1"/>
  <c r="BB608" i="1" s="1"/>
  <c r="AB643" i="1"/>
  <c r="BA641" i="1" s="1"/>
  <c r="BA642" i="1" s="1"/>
  <c r="BA631" i="1" s="1"/>
  <c r="BA650" i="1" s="1"/>
  <c r="AA686" i="1"/>
  <c r="AZ684" i="1" s="1"/>
  <c r="AC695" i="1"/>
  <c r="BB693" i="1" s="1"/>
  <c r="Z707" i="1"/>
  <c r="AY705" i="1" s="1"/>
  <c r="Z710" i="1"/>
  <c r="AY708" i="1" s="1"/>
  <c r="AY709" i="1" s="1"/>
  <c r="AC689" i="1"/>
  <c r="BB687" i="1" s="1"/>
  <c r="Z52" i="1"/>
  <c r="AY50" i="1" s="1"/>
  <c r="AY51" i="1" s="1"/>
  <c r="AY52" i="1" s="1"/>
  <c r="Z61" i="1"/>
  <c r="AY59" i="1" s="1"/>
  <c r="AY60" i="1" s="1"/>
  <c r="AY61" i="1" s="1"/>
  <c r="AA104" i="1"/>
  <c r="AZ102" i="1" s="1"/>
  <c r="AC119" i="1"/>
  <c r="BB117" i="1" s="1"/>
  <c r="BB118" i="1" s="1"/>
  <c r="AB163" i="1"/>
  <c r="BA161" i="1" s="1"/>
  <c r="AA175" i="1"/>
  <c r="AZ173" i="1" s="1"/>
  <c r="Z178" i="1"/>
  <c r="AY176" i="1" s="1"/>
  <c r="AA190" i="1"/>
  <c r="AZ188" i="1" s="1"/>
  <c r="AZ189" i="1" s="1"/>
  <c r="AC209" i="1"/>
  <c r="BB207" i="1" s="1"/>
  <c r="BB208" i="1" s="1"/>
  <c r="AA211" i="1"/>
  <c r="AA233" i="1"/>
  <c r="AZ231" i="1" s="1"/>
  <c r="AB239" i="1"/>
  <c r="BA237" i="1" s="1"/>
  <c r="AB285" i="1"/>
  <c r="BA283" i="1" s="1"/>
  <c r="BA284" i="1" s="1"/>
  <c r="Z294" i="1"/>
  <c r="AY292" i="1" s="1"/>
  <c r="AB316" i="1"/>
  <c r="BA314" i="1" s="1"/>
  <c r="BA315" i="1" s="1"/>
  <c r="BA316" i="1" s="1"/>
  <c r="BA323" i="1" s="1"/>
  <c r="Z338" i="1"/>
  <c r="AY336" i="1" s="1"/>
  <c r="AC356" i="1"/>
  <c r="BB354" i="1" s="1"/>
  <c r="BB355" i="1" s="1"/>
  <c r="Z374" i="1"/>
  <c r="AY372" i="1" s="1"/>
  <c r="Z377" i="1"/>
  <c r="AY375" i="1" s="1"/>
  <c r="AB386" i="1"/>
  <c r="BA384" i="1" s="1"/>
  <c r="AB411" i="1"/>
  <c r="BA409" i="1" s="1"/>
  <c r="BA410" i="1" s="1"/>
  <c r="AC411" i="1"/>
  <c r="BB409" i="1" s="1"/>
  <c r="BB410" i="1" s="1"/>
  <c r="AA438" i="1"/>
  <c r="AZ436" i="1" s="1"/>
  <c r="AZ437" i="1" s="1"/>
  <c r="AZ432" i="1" s="1"/>
  <c r="AA457" i="1"/>
  <c r="AZ455" i="1" s="1"/>
  <c r="AZ456" i="1" s="1"/>
  <c r="AC460" i="1"/>
  <c r="BB458" i="1" s="1"/>
  <c r="BB459" i="1" s="1"/>
  <c r="AB518" i="1"/>
  <c r="BA516" i="1" s="1"/>
  <c r="BA517" i="1" s="1"/>
  <c r="AC521" i="1"/>
  <c r="BB519" i="1" s="1"/>
  <c r="AA530" i="1"/>
  <c r="AZ528" i="1" s="1"/>
  <c r="AZ529" i="1" s="1"/>
  <c r="AA555" i="1"/>
  <c r="AZ553" i="1" s="1"/>
  <c r="AA615" i="1"/>
  <c r="AZ613" i="1" s="1"/>
  <c r="AZ614" i="1" s="1"/>
  <c r="AZ573" i="1" s="1"/>
  <c r="AA640" i="1"/>
  <c r="AZ638" i="1" s="1"/>
  <c r="AZ639" i="1" s="1"/>
  <c r="AA710" i="1"/>
  <c r="AZ708" i="1" s="1"/>
  <c r="AZ709" i="1" s="1"/>
  <c r="AB457" i="1"/>
  <c r="BA455" i="1" s="1"/>
  <c r="BA456" i="1" s="1"/>
  <c r="AB515" i="1"/>
  <c r="AA558" i="1"/>
  <c r="AZ556" i="1" s="1"/>
  <c r="AC561" i="1"/>
  <c r="BB559" i="1" s="1"/>
  <c r="AB615" i="1"/>
  <c r="BA613" i="1" s="1"/>
  <c r="BA614" i="1" s="1"/>
  <c r="AA695" i="1"/>
  <c r="AZ693" i="1" s="1"/>
  <c r="AB701" i="1"/>
  <c r="BA699" i="1" s="1"/>
  <c r="AB710" i="1"/>
  <c r="BA708" i="1" s="1"/>
  <c r="BA709" i="1" s="1"/>
  <c r="X39" i="1"/>
  <c r="Y38" i="1"/>
  <c r="Y39" i="1" s="1"/>
  <c r="AA52" i="1"/>
  <c r="AZ50" i="1" s="1"/>
  <c r="AZ51" i="1" s="1"/>
  <c r="AB110" i="1"/>
  <c r="BA108" i="1" s="1"/>
  <c r="AA113" i="1"/>
  <c r="AZ111" i="1" s="1"/>
  <c r="Z166" i="1"/>
  <c r="AY164" i="1" s="1"/>
  <c r="AC184" i="1"/>
  <c r="BB182" i="1" s="1"/>
  <c r="AB211" i="1"/>
  <c r="AB212" i="1" s="1"/>
  <c r="BA210" i="1" s="1"/>
  <c r="BA211" i="1" s="1"/>
  <c r="AC279" i="1"/>
  <c r="BB277" i="1" s="1"/>
  <c r="BB278" i="1" s="1"/>
  <c r="AC294" i="1"/>
  <c r="BB292" i="1" s="1"/>
  <c r="Y305" i="1"/>
  <c r="AB374" i="1"/>
  <c r="BA372" i="1" s="1"/>
  <c r="AC377" i="1"/>
  <c r="BB375" i="1" s="1"/>
  <c r="AB426" i="1"/>
  <c r="BA424" i="1" s="1"/>
  <c r="BA425" i="1" s="1"/>
  <c r="AC426" i="1"/>
  <c r="BB424" i="1" s="1"/>
  <c r="BB425" i="1" s="1"/>
  <c r="Z466" i="1"/>
  <c r="AY464" i="1" s="1"/>
  <c r="Z469" i="1"/>
  <c r="AY467" i="1" s="1"/>
  <c r="AA497" i="1"/>
  <c r="AZ495" i="1" s="1"/>
  <c r="Z524" i="1"/>
  <c r="AY522" i="1" s="1"/>
  <c r="Z527" i="1"/>
  <c r="AY525" i="1" s="1"/>
  <c r="AA536" i="1"/>
  <c r="AZ534" i="1" s="1"/>
  <c r="AZ535" i="1" s="1"/>
  <c r="Y541" i="1"/>
  <c r="AC615" i="1"/>
  <c r="BB613" i="1" s="1"/>
  <c r="BB614" i="1" s="1"/>
  <c r="AA631" i="1"/>
  <c r="AZ629" i="1" s="1"/>
  <c r="AZ630" i="1" s="1"/>
  <c r="Z38" i="1"/>
  <c r="Z39" i="1" s="1"/>
  <c r="Z40" i="1"/>
  <c r="Z42" i="1" s="1"/>
  <c r="AC52" i="1"/>
  <c r="BB50" i="1" s="1"/>
  <c r="BB51" i="1" s="1"/>
  <c r="AB61" i="1"/>
  <c r="BA59" i="1" s="1"/>
  <c r="BA60" i="1" s="1"/>
  <c r="BA61" i="1" s="1"/>
  <c r="AC77" i="1"/>
  <c r="BB75" i="1" s="1"/>
  <c r="BB76" i="1" s="1"/>
  <c r="BB77" i="1" s="1"/>
  <c r="AB107" i="1"/>
  <c r="BA105" i="1" s="1"/>
  <c r="Z113" i="1"/>
  <c r="AY111" i="1" s="1"/>
  <c r="AA172" i="1"/>
  <c r="AZ170" i="1" s="1"/>
  <c r="AC211" i="1"/>
  <c r="AC212" i="1" s="1"/>
  <c r="BB210" i="1" s="1"/>
  <c r="BB211" i="1" s="1"/>
  <c r="AA221" i="1"/>
  <c r="AZ219" i="1" s="1"/>
  <c r="AB221" i="1"/>
  <c r="BA219" i="1" s="1"/>
  <c r="Z288" i="1"/>
  <c r="AY286" i="1" s="1"/>
  <c r="AY287" i="1" s="1"/>
  <c r="AC316" i="1"/>
  <c r="BB314" i="1" s="1"/>
  <c r="BB315" i="1" s="1"/>
  <c r="BB316" i="1" s="1"/>
  <c r="AA386" i="1"/>
  <c r="AZ384" i="1" s="1"/>
  <c r="AB463" i="1"/>
  <c r="BA461" i="1" s="1"/>
  <c r="BA462" i="1" s="1"/>
  <c r="AC503" i="1"/>
  <c r="AC509" i="1"/>
  <c r="AB555" i="1"/>
  <c r="BA553" i="1" s="1"/>
  <c r="Z561" i="1"/>
  <c r="AY559" i="1" s="1"/>
  <c r="AC631" i="1"/>
  <c r="BB629" i="1" s="1"/>
  <c r="BB630" i="1" s="1"/>
  <c r="AA634" i="1"/>
  <c r="AZ632" i="1" s="1"/>
  <c r="AZ633" i="1" s="1"/>
  <c r="Z643" i="1"/>
  <c r="AY641" i="1" s="1"/>
  <c r="AY642" i="1" s="1"/>
  <c r="Y715" i="1"/>
  <c r="AA38" i="1"/>
  <c r="AA55" i="1"/>
  <c r="AZ53" i="1" s="1"/>
  <c r="AZ54" i="1" s="1"/>
  <c r="X722" i="1"/>
  <c r="X724" i="1" s="1"/>
  <c r="AA77" i="1"/>
  <c r="AZ75" i="1" s="1"/>
  <c r="AZ76" i="1" s="1"/>
  <c r="AA119" i="1"/>
  <c r="AZ117" i="1" s="1"/>
  <c r="AZ118" i="1" s="1"/>
  <c r="AC125" i="1"/>
  <c r="BB123" i="1" s="1"/>
  <c r="BB124" i="1" s="1"/>
  <c r="BB125" i="1" s="1"/>
  <c r="BC123" i="1" s="1"/>
  <c r="W721" i="1"/>
  <c r="AA169" i="1"/>
  <c r="AZ167" i="1" s="1"/>
  <c r="AC242" i="1"/>
  <c r="BB240" i="1" s="1"/>
  <c r="BB241" i="1" s="1"/>
  <c r="BB242" i="1" s="1"/>
  <c r="BC240" i="1" s="1"/>
  <c r="Z254" i="1"/>
  <c r="AY252" i="1" s="1"/>
  <c r="AY253" i="1" s="1"/>
  <c r="AY254" i="1" s="1"/>
  <c r="AA270" i="1"/>
  <c r="AZ268" i="1" s="1"/>
  <c r="AA288" i="1"/>
  <c r="AZ286" i="1" s="1"/>
  <c r="AZ287" i="1" s="1"/>
  <c r="AC288" i="1"/>
  <c r="BB286" i="1" s="1"/>
  <c r="BB287" i="1" s="1"/>
  <c r="AC291" i="1"/>
  <c r="BB289" i="1" s="1"/>
  <c r="H336" i="1"/>
  <c r="AW337" i="1" s="1"/>
  <c r="AW338" i="1" s="1"/>
  <c r="AW357" i="1" s="1"/>
  <c r="AA350" i="1"/>
  <c r="AZ348" i="1" s="1"/>
  <c r="AZ349" i="1" s="1"/>
  <c r="AZ350" i="1" s="1"/>
  <c r="AA389" i="1"/>
  <c r="AZ387" i="1" s="1"/>
  <c r="AC389" i="1"/>
  <c r="BB387" i="1" s="1"/>
  <c r="AA395" i="1"/>
  <c r="AZ393" i="1" s="1"/>
  <c r="AZ394" i="1" s="1"/>
  <c r="AB466" i="1"/>
  <c r="BA464" i="1" s="1"/>
  <c r="V720" i="1"/>
  <c r="Z491" i="1"/>
  <c r="AY489" i="1" s="1"/>
  <c r="AY490" i="1" s="1"/>
  <c r="AY488" i="1" s="1"/>
  <c r="AC494" i="1"/>
  <c r="BB492" i="1" s="1"/>
  <c r="AC497" i="1"/>
  <c r="BB495" i="1" s="1"/>
  <c r="AA509" i="1"/>
  <c r="AC555" i="1"/>
  <c r="BB553" i="1" s="1"/>
  <c r="Z567" i="1"/>
  <c r="AY565" i="1" s="1"/>
  <c r="AA646" i="1"/>
  <c r="AZ644" i="1" s="1"/>
  <c r="AZ645" i="1" s="1"/>
  <c r="Z649" i="1"/>
  <c r="AY647" i="1" s="1"/>
  <c r="AY648" i="1" s="1"/>
  <c r="AA689" i="1"/>
  <c r="AZ687" i="1" s="1"/>
  <c r="AA322" i="1"/>
  <c r="AZ320" i="1" s="1"/>
  <c r="AB37" i="1"/>
  <c r="AO712" i="1"/>
  <c r="U733" i="1" s="1"/>
  <c r="AB77" i="1"/>
  <c r="BA75" i="1" s="1"/>
  <c r="BA76" i="1" s="1"/>
  <c r="BA77" i="1" s="1"/>
  <c r="BA87" i="1" s="1"/>
  <c r="AA86" i="1"/>
  <c r="AZ84" i="1" s="1"/>
  <c r="AZ85" i="1" s="1"/>
  <c r="Z116" i="1"/>
  <c r="AY114" i="1" s="1"/>
  <c r="AA116" i="1"/>
  <c r="AZ114" i="1" s="1"/>
  <c r="Z119" i="1"/>
  <c r="AY117" i="1" s="1"/>
  <c r="AY118" i="1" s="1"/>
  <c r="AB119" i="1"/>
  <c r="BA117" i="1" s="1"/>
  <c r="BA118" i="1" s="1"/>
  <c r="AA122" i="1"/>
  <c r="AZ120" i="1" s="1"/>
  <c r="AZ121" i="1" s="1"/>
  <c r="AZ122" i="1" s="1"/>
  <c r="AB125" i="1"/>
  <c r="BA123" i="1" s="1"/>
  <c r="BA124" i="1" s="1"/>
  <c r="BA125" i="1" s="1"/>
  <c r="AC181" i="1"/>
  <c r="BB179" i="1" s="1"/>
  <c r="Y719" i="1"/>
  <c r="U739" i="1" s="1"/>
  <c r="T730" i="1" s="1"/>
  <c r="Z209" i="1"/>
  <c r="AY207" i="1" s="1"/>
  <c r="AY208" i="1" s="1"/>
  <c r="AB209" i="1"/>
  <c r="BA207" i="1" s="1"/>
  <c r="BA208" i="1" s="1"/>
  <c r="AA245" i="1"/>
  <c r="AZ243" i="1" s="1"/>
  <c r="AB254" i="1"/>
  <c r="BA252" i="1" s="1"/>
  <c r="BA253" i="1" s="1"/>
  <c r="BA254" i="1" s="1"/>
  <c r="Z273" i="1"/>
  <c r="AY271" i="1" s="1"/>
  <c r="AY272" i="1" s="1"/>
  <c r="AA273" i="1"/>
  <c r="AZ271" i="1" s="1"/>
  <c r="AZ272" i="1" s="1"/>
  <c r="AB288" i="1"/>
  <c r="BA286" i="1" s="1"/>
  <c r="BA287" i="1" s="1"/>
  <c r="Z347" i="1"/>
  <c r="AY345" i="1" s="1"/>
  <c r="AY346" i="1" s="1"/>
  <c r="Z356" i="1"/>
  <c r="AY354" i="1" s="1"/>
  <c r="AY355" i="1" s="1"/>
  <c r="AY350" i="1" s="1"/>
  <c r="AB389" i="1"/>
  <c r="BA387" i="1" s="1"/>
  <c r="AD424" i="1"/>
  <c r="AC466" i="1"/>
  <c r="BB464" i="1" s="1"/>
  <c r="BB465" i="1" s="1"/>
  <c r="BB466" i="1" s="1"/>
  <c r="AB497" i="1"/>
  <c r="BA495" i="1" s="1"/>
  <c r="AB500" i="1"/>
  <c r="BA498" i="1" s="1"/>
  <c r="AB503" i="1"/>
  <c r="AB509" i="1"/>
  <c r="AA512" i="1"/>
  <c r="AZ510" i="1" s="1"/>
  <c r="AB521" i="1"/>
  <c r="BA519" i="1" s="1"/>
  <c r="AA524" i="1"/>
  <c r="AZ522" i="1" s="1"/>
  <c r="AC527" i="1"/>
  <c r="BB525" i="1" s="1"/>
  <c r="Z558" i="1"/>
  <c r="AY556" i="1" s="1"/>
  <c r="AA567" i="1"/>
  <c r="AZ565" i="1" s="1"/>
  <c r="AA649" i="1"/>
  <c r="AZ647" i="1" s="1"/>
  <c r="AZ648" i="1" s="1"/>
  <c r="AB689" i="1"/>
  <c r="BA687" i="1" s="1"/>
  <c r="AA701" i="1"/>
  <c r="AZ699" i="1" s="1"/>
  <c r="AZ700" i="1" s="1"/>
  <c r="Z704" i="1"/>
  <c r="AY702" i="1" s="1"/>
  <c r="AY700" i="1" s="1"/>
  <c r="W42" i="1"/>
  <c r="A28" i="1"/>
  <c r="AC40" i="1"/>
  <c r="L28" i="1"/>
  <c r="V28" i="1"/>
  <c r="AB42" i="1"/>
  <c r="AC58" i="1"/>
  <c r="BB56" i="1" s="1"/>
  <c r="BB57" i="1" s="1"/>
  <c r="N29" i="1"/>
  <c r="O28" i="1"/>
  <c r="W720" i="1"/>
  <c r="W130" i="1"/>
  <c r="W722" i="1" s="1"/>
  <c r="AC37" i="1"/>
  <c r="AB38" i="1"/>
  <c r="AB39" i="1" s="1"/>
  <c r="AA40" i="1"/>
  <c r="AA42" i="1" s="1"/>
  <c r="Y756" i="1"/>
  <c r="Y758" i="1" s="1"/>
  <c r="AA212" i="1"/>
  <c r="AZ210" i="1" s="1"/>
  <c r="AZ211" i="1" s="1"/>
  <c r="V39" i="1"/>
  <c r="Y55" i="1"/>
  <c r="AX53" i="1" s="1"/>
  <c r="AX54" i="1" s="1"/>
  <c r="AX52" i="1" s="1"/>
  <c r="AX62" i="1" s="1"/>
  <c r="Z218" i="1"/>
  <c r="AY216" i="1" s="1"/>
  <c r="AC233" i="1"/>
  <c r="BB231" i="1" s="1"/>
  <c r="W723" i="1"/>
  <c r="AC159" i="1"/>
  <c r="AC160" i="1" s="1"/>
  <c r="BB158" i="1" s="1"/>
  <c r="AB159" i="1"/>
  <c r="AB160" i="1" s="1"/>
  <c r="BA158" i="1" s="1"/>
  <c r="X28" i="1"/>
  <c r="AB728" i="1"/>
  <c r="AB748" i="1" s="1"/>
  <c r="X748" i="1"/>
  <c r="X736" i="1"/>
  <c r="X738" i="1" s="1"/>
  <c r="AR712" i="1"/>
  <c r="U753" i="1" s="1"/>
  <c r="X723" i="1"/>
  <c r="Y199" i="1"/>
  <c r="Y723" i="1" s="1"/>
  <c r="V212" i="1"/>
  <c r="AU210" i="1" s="1"/>
  <c r="AU211" i="1" s="1"/>
  <c r="AU209" i="1" s="1"/>
  <c r="AA217" i="1"/>
  <c r="AA218" i="1" s="1"/>
  <c r="AZ216" i="1" s="1"/>
  <c r="AB217" i="1"/>
  <c r="AB218" i="1" s="1"/>
  <c r="BA216" i="1" s="1"/>
  <c r="AC217" i="1"/>
  <c r="AC218" i="1" s="1"/>
  <c r="BB216" i="1" s="1"/>
  <c r="AZ222" i="1"/>
  <c r="AY222" i="1"/>
  <c r="Y198" i="1"/>
  <c r="Z211" i="1"/>
  <c r="Z212" i="1" s="1"/>
  <c r="AY210" i="1" s="1"/>
  <c r="AY211" i="1" s="1"/>
  <c r="BA222" i="1"/>
  <c r="BB222" i="1"/>
  <c r="Z250" i="1"/>
  <c r="V251" i="1"/>
  <c r="AU249" i="1" s="1"/>
  <c r="AU250" i="1" s="1"/>
  <c r="Y242" i="1"/>
  <c r="AX240" i="1" s="1"/>
  <c r="AX241" i="1" s="1"/>
  <c r="AX242" i="1" s="1"/>
  <c r="Z429" i="1"/>
  <c r="AY427" i="1" s="1"/>
  <c r="AY428" i="1" s="1"/>
  <c r="AC518" i="1"/>
  <c r="BB516" i="1" s="1"/>
  <c r="BB517" i="1" s="1"/>
  <c r="AB686" i="1"/>
  <c r="BA684" i="1" s="1"/>
  <c r="AC686" i="1"/>
  <c r="BB684" i="1" s="1"/>
  <c r="AB524" i="1"/>
  <c r="BA522" i="1" s="1"/>
  <c r="AC423" i="1"/>
  <c r="BB421" i="1" s="1"/>
  <c r="BB422" i="1" s="1"/>
  <c r="V477" i="1"/>
  <c r="V722" i="1" s="1"/>
  <c r="Y518" i="1"/>
  <c r="AX516" i="1" s="1"/>
  <c r="AX517" i="1" s="1"/>
  <c r="AB698" i="1"/>
  <c r="BA696" i="1" s="1"/>
  <c r="AC698" i="1"/>
  <c r="BB696" i="1" s="1"/>
  <c r="AB585" i="1"/>
  <c r="BA583" i="1" s="1"/>
  <c r="BA584" i="1" s="1"/>
  <c r="BA573" i="1" s="1"/>
  <c r="Y620" i="1"/>
  <c r="Y654" i="1"/>
  <c r="X698" i="1"/>
  <c r="AW696" i="1" s="1"/>
  <c r="AW685" i="1" s="1"/>
  <c r="AW686" i="1" s="1"/>
  <c r="AW711" i="1" s="1"/>
  <c r="Y698" i="1"/>
  <c r="AX696" i="1" s="1"/>
  <c r="AX685" i="1" s="1"/>
  <c r="AX686" i="1" s="1"/>
  <c r="AX711" i="1" s="1"/>
  <c r="AA698" i="1"/>
  <c r="AZ696" i="1" s="1"/>
  <c r="BA700" i="1" l="1"/>
  <c r="BA685" i="1"/>
  <c r="AY631" i="1"/>
  <c r="AY650" i="1" s="1"/>
  <c r="BB631" i="1"/>
  <c r="BB650" i="1" s="1"/>
  <c r="AU616" i="1"/>
  <c r="AV616" i="1"/>
  <c r="BB573" i="1"/>
  <c r="AW616" i="1"/>
  <c r="BB551" i="1"/>
  <c r="BB552" i="1" s="1"/>
  <c r="BB616" i="1" s="1"/>
  <c r="AZ551" i="1"/>
  <c r="AZ552" i="1" s="1"/>
  <c r="AZ616" i="1" s="1"/>
  <c r="AY520" i="1"/>
  <c r="AY521" i="1" s="1"/>
  <c r="AY537" i="1" s="1"/>
  <c r="AV537" i="1"/>
  <c r="AX488" i="1"/>
  <c r="AX537" i="1" s="1"/>
  <c r="AW537" i="1"/>
  <c r="BA465" i="1"/>
  <c r="BA466" i="1" s="1"/>
  <c r="AX473" i="1"/>
  <c r="X756" i="1"/>
  <c r="X758" i="1" s="1"/>
  <c r="AY465" i="1"/>
  <c r="AY466" i="1" s="1"/>
  <c r="AU473" i="1"/>
  <c r="AU439" i="1"/>
  <c r="BB373" i="1"/>
  <c r="BB374" i="1" s="1"/>
  <c r="BB396" i="1" s="1"/>
  <c r="AX301" i="1"/>
  <c r="AW255" i="1"/>
  <c r="AV157" i="1"/>
  <c r="AV194" i="1" s="1"/>
  <c r="AW157" i="1"/>
  <c r="AW194" i="1" s="1"/>
  <c r="AZ171" i="1"/>
  <c r="AU157" i="1"/>
  <c r="AU194" i="1" s="1"/>
  <c r="AX157" i="1"/>
  <c r="AX194" i="1" s="1"/>
  <c r="AV126" i="1"/>
  <c r="BB103" i="1"/>
  <c r="BB104" i="1" s="1"/>
  <c r="AY62" i="1"/>
  <c r="AZ217" i="1"/>
  <c r="AZ209" i="1" s="1"/>
  <c r="BC550" i="1"/>
  <c r="BD550" i="1" s="1"/>
  <c r="AZ439" i="1"/>
  <c r="AY686" i="1"/>
  <c r="AY711" i="1" s="1"/>
  <c r="BC372" i="1"/>
  <c r="BD372" i="1" s="1"/>
  <c r="AY373" i="1"/>
  <c r="AY374" i="1" s="1"/>
  <c r="AY396" i="1" s="1"/>
  <c r="AY344" i="1"/>
  <c r="BA490" i="1"/>
  <c r="BA488" i="1" s="1"/>
  <c r="BC139" i="1"/>
  <c r="BD139" i="1" s="1"/>
  <c r="BB142" i="1"/>
  <c r="BB344" i="1"/>
  <c r="BC342" i="1" s="1"/>
  <c r="AZ454" i="1"/>
  <c r="AZ473" i="1" s="1"/>
  <c r="BA103" i="1"/>
  <c r="BA104" i="1" s="1"/>
  <c r="BA126" i="1" s="1"/>
  <c r="BB269" i="1"/>
  <c r="BB270" i="1"/>
  <c r="AU301" i="1"/>
  <c r="BA141" i="1"/>
  <c r="BA142" i="1" s="1"/>
  <c r="AW473" i="1"/>
  <c r="BB217" i="1"/>
  <c r="BB209" i="1" s="1"/>
  <c r="AZ631" i="1"/>
  <c r="AZ650" i="1" s="1"/>
  <c r="BA187" i="1"/>
  <c r="AY269" i="1"/>
  <c r="AY270" i="1"/>
  <c r="AZ293" i="1"/>
  <c r="AZ294" i="1"/>
  <c r="AW141" i="1"/>
  <c r="AW142" i="1" s="1"/>
  <c r="AV473" i="1"/>
  <c r="BA217" i="1"/>
  <c r="BA209" i="1" s="1"/>
  <c r="AY217" i="1"/>
  <c r="AY209" i="1" s="1"/>
  <c r="AY337" i="1"/>
  <c r="AY338" i="1" s="1"/>
  <c r="AY357" i="1" s="1"/>
  <c r="AZ156" i="1"/>
  <c r="AY410" i="1"/>
  <c r="AY411" i="1" s="1"/>
  <c r="AY439" i="1" s="1"/>
  <c r="BA171" i="1"/>
  <c r="BB490" i="1"/>
  <c r="BB488" i="1" s="1"/>
  <c r="AZ315" i="1"/>
  <c r="AZ316" i="1" s="1"/>
  <c r="AZ323" i="1" s="1"/>
  <c r="AZ373" i="1"/>
  <c r="AZ374" i="1" s="1"/>
  <c r="AZ396" i="1" s="1"/>
  <c r="BB171" i="1"/>
  <c r="BB350" i="1"/>
  <c r="BC348" i="1" s="1"/>
  <c r="BA337" i="1"/>
  <c r="BA338" i="1" s="1"/>
  <c r="BB156" i="1"/>
  <c r="AU686" i="1"/>
  <c r="AU711" i="1" s="1"/>
  <c r="BB685" i="1"/>
  <c r="BB290" i="1"/>
  <c r="BB291" i="1"/>
  <c r="BC289" i="1" s="1"/>
  <c r="BC314" i="1"/>
  <c r="BD314" i="1" s="1"/>
  <c r="BB323" i="1"/>
  <c r="BC75" i="1"/>
  <c r="BD75" i="1" s="1"/>
  <c r="BB87" i="1"/>
  <c r="BB411" i="1"/>
  <c r="AY293" i="1"/>
  <c r="AY294" i="1"/>
  <c r="AZ490" i="1"/>
  <c r="AZ488" i="1" s="1"/>
  <c r="BB337" i="1"/>
  <c r="BB338" i="1" s="1"/>
  <c r="BA454" i="1"/>
  <c r="BA290" i="1"/>
  <c r="BA291" i="1"/>
  <c r="AW301" i="1"/>
  <c r="AY290" i="1"/>
  <c r="AY291" i="1"/>
  <c r="AX255" i="1"/>
  <c r="AV337" i="1"/>
  <c r="AV338" i="1" s="1"/>
  <c r="AV357" i="1" s="1"/>
  <c r="BA156" i="1"/>
  <c r="AX616" i="1"/>
  <c r="AU337" i="1"/>
  <c r="AU338" i="1" s="1"/>
  <c r="AU357" i="1" s="1"/>
  <c r="AU141" i="1"/>
  <c r="AU142" i="1" s="1"/>
  <c r="BA520" i="1"/>
  <c r="BA521" i="1" s="1"/>
  <c r="BA373" i="1"/>
  <c r="BA374" i="1" s="1"/>
  <c r="BA396" i="1" s="1"/>
  <c r="BA411" i="1"/>
  <c r="BA439" i="1" s="1"/>
  <c r="AY454" i="1"/>
  <c r="AY551" i="1"/>
  <c r="AY552" i="1" s="1"/>
  <c r="AY616" i="1" s="1"/>
  <c r="AZ337" i="1"/>
  <c r="AZ338" i="1" s="1"/>
  <c r="AY156" i="1"/>
  <c r="BA551" i="1"/>
  <c r="BA552" i="1" s="1"/>
  <c r="BA616" i="1" s="1"/>
  <c r="AU537" i="1"/>
  <c r="AV301" i="1"/>
  <c r="AY77" i="1"/>
  <c r="AY87" i="1" s="1"/>
  <c r="AX337" i="1"/>
  <c r="AX338" i="1" s="1"/>
  <c r="AX357" i="1" s="1"/>
  <c r="AY171" i="1"/>
  <c r="AV141" i="1"/>
  <c r="AV142" i="1" s="1"/>
  <c r="AZ532" i="1"/>
  <c r="AZ533" i="1" s="1"/>
  <c r="AZ77" i="1"/>
  <c r="AZ87" i="1" s="1"/>
  <c r="AZ52" i="1"/>
  <c r="AZ62" i="1" s="1"/>
  <c r="BA293" i="1"/>
  <c r="BA294" i="1"/>
  <c r="AU244" i="1"/>
  <c r="AU245" i="1" s="1"/>
  <c r="AU255" i="1" s="1"/>
  <c r="AY141" i="1"/>
  <c r="AY142" i="1" s="1"/>
  <c r="AY103" i="1"/>
  <c r="AY104" i="1" s="1"/>
  <c r="AY126" i="1" s="1"/>
  <c r="AZ269" i="1"/>
  <c r="AZ270" i="1"/>
  <c r="BB293" i="1"/>
  <c r="BB294" i="1"/>
  <c r="BC292" i="1" s="1"/>
  <c r="BB520" i="1"/>
  <c r="BB521" i="1" s="1"/>
  <c r="BC519" i="1" s="1"/>
  <c r="AZ103" i="1"/>
  <c r="AZ104" i="1" s="1"/>
  <c r="AZ126" i="1" s="1"/>
  <c r="AZ685" i="1"/>
  <c r="AZ686" i="1" s="1"/>
  <c r="AZ711" i="1" s="1"/>
  <c r="AZ187" i="1"/>
  <c r="AZ520" i="1"/>
  <c r="AZ521" i="1" s="1"/>
  <c r="BA344" i="1"/>
  <c r="BB454" i="1"/>
  <c r="AZ344" i="1"/>
  <c r="BA269" i="1"/>
  <c r="BA270" i="1"/>
  <c r="AX141" i="1"/>
  <c r="AX142" i="1" s="1"/>
  <c r="BB532" i="1"/>
  <c r="BB533" i="1" s="1"/>
  <c r="BC531" i="1" s="1"/>
  <c r="AC753" i="1"/>
  <c r="AC755" i="1" s="1"/>
  <c r="W724" i="1"/>
  <c r="X42" i="1"/>
  <c r="T733" i="1"/>
  <c r="AA39" i="1"/>
  <c r="Y753" i="1"/>
  <c r="Y755" i="1" s="1"/>
  <c r="X733" i="1"/>
  <c r="X735" i="1" s="1"/>
  <c r="T736" i="1"/>
  <c r="Y740" i="1" s="1"/>
  <c r="Y728" i="1"/>
  <c r="AC38" i="1"/>
  <c r="AC39" i="1" s="1"/>
  <c r="Y41" i="1"/>
  <c r="X753" i="1"/>
  <c r="X755" i="1" s="1"/>
  <c r="U759" i="1"/>
  <c r="T753" i="1" s="1"/>
  <c r="Y722" i="1"/>
  <c r="Y724" i="1" s="1"/>
  <c r="Y750" i="1"/>
  <c r="Y752" i="1" s="1"/>
  <c r="Y730" i="1"/>
  <c r="Y732" i="1" s="1"/>
  <c r="AB756" i="1"/>
  <c r="AB758" i="1" s="1"/>
  <c r="AB736" i="1"/>
  <c r="AB738" i="1" s="1"/>
  <c r="Y733" i="1"/>
  <c r="Y735" i="1" s="1"/>
  <c r="L29" i="1"/>
  <c r="M29" i="1"/>
  <c r="AC736" i="1"/>
  <c r="AC738" i="1" s="1"/>
  <c r="AC756" i="1"/>
  <c r="AC758" i="1" s="1"/>
  <c r="AA250" i="1"/>
  <c r="Z251" i="1"/>
  <c r="AY249" i="1" s="1"/>
  <c r="X750" i="1"/>
  <c r="Y736" i="1"/>
  <c r="Y738" i="1" s="1"/>
  <c r="AC55" i="1"/>
  <c r="BB53" i="1" s="1"/>
  <c r="BB54" i="1" s="1"/>
  <c r="BB52" i="1" s="1"/>
  <c r="AB55" i="1"/>
  <c r="BA53" i="1" s="1"/>
  <c r="BA54" i="1" s="1"/>
  <c r="BA52" i="1" s="1"/>
  <c r="BA62" i="1" s="1"/>
  <c r="AB753" i="1"/>
  <c r="AB755" i="1" s="1"/>
  <c r="X730" i="1"/>
  <c r="BA686" i="1" l="1"/>
  <c r="BA711" i="1" s="1"/>
  <c r="BC629" i="1"/>
  <c r="BD629" i="1" s="1"/>
  <c r="BA473" i="1"/>
  <c r="AY473" i="1"/>
  <c r="AZ301" i="1"/>
  <c r="BB157" i="1"/>
  <c r="BB194" i="1" s="1"/>
  <c r="BA157" i="1"/>
  <c r="BA194" i="1" s="1"/>
  <c r="AZ157" i="1"/>
  <c r="BC207" i="1"/>
  <c r="BC50" i="1"/>
  <c r="BD50" i="1" s="1"/>
  <c r="BB62" i="1"/>
  <c r="BC452" i="1"/>
  <c r="BD452" i="1" s="1"/>
  <c r="BB473" i="1"/>
  <c r="BC102" i="1"/>
  <c r="BD102" i="1" s="1"/>
  <c r="BB126" i="1"/>
  <c r="BC486" i="1"/>
  <c r="BD486" i="1" s="1"/>
  <c r="BB537" i="1"/>
  <c r="AY250" i="1"/>
  <c r="AY244" i="1"/>
  <c r="AY245" i="1" s="1"/>
  <c r="AY255" i="1" s="1"/>
  <c r="BC155" i="1"/>
  <c r="BD155" i="1" s="1"/>
  <c r="BC336" i="1"/>
  <c r="BD336" i="1" s="1"/>
  <c r="BB357" i="1"/>
  <c r="AZ537" i="1"/>
  <c r="BA357" i="1"/>
  <c r="BA301" i="1"/>
  <c r="AY157" i="1"/>
  <c r="AY194" i="1" s="1"/>
  <c r="AZ194" i="1"/>
  <c r="AY301" i="1"/>
  <c r="AZ357" i="1"/>
  <c r="BA537" i="1"/>
  <c r="BC409" i="1"/>
  <c r="BD409" i="1" s="1"/>
  <c r="BB439" i="1"/>
  <c r="BC684" i="1"/>
  <c r="BD684" i="1" s="1"/>
  <c r="BB686" i="1"/>
  <c r="BB711" i="1" s="1"/>
  <c r="BC268" i="1"/>
  <c r="BD268" i="1" s="1"/>
  <c r="BB301" i="1"/>
  <c r="AC740" i="1"/>
  <c r="AB740" i="1"/>
  <c r="X740" i="1"/>
  <c r="AC41" i="1"/>
  <c r="AC42" i="1" s="1"/>
  <c r="Y42" i="1"/>
  <c r="T756" i="1"/>
  <c r="T750" i="1"/>
  <c r="AC728" i="1"/>
  <c r="AC748" i="1" s="1"/>
  <c r="Y748" i="1"/>
  <c r="Y759" i="1"/>
  <c r="Y761" i="1"/>
  <c r="Y741" i="1"/>
  <c r="X732" i="1"/>
  <c r="X741" i="1"/>
  <c r="X739" i="1"/>
  <c r="AB250" i="1"/>
  <c r="AA251" i="1"/>
  <c r="AZ249" i="1" s="1"/>
  <c r="AC733" i="1"/>
  <c r="AC735" i="1" s="1"/>
  <c r="X752" i="1"/>
  <c r="X761" i="1"/>
  <c r="X759" i="1"/>
  <c r="AB733" i="1"/>
  <c r="AB735" i="1" s="1"/>
  <c r="Y739" i="1"/>
  <c r="AZ250" i="1" l="1"/>
  <c r="AZ244" i="1"/>
  <c r="AB760" i="1"/>
  <c r="AC760" i="1"/>
  <c r="Y760" i="1"/>
  <c r="X760" i="1"/>
  <c r="AC250" i="1"/>
  <c r="AC251" i="1" s="1"/>
  <c r="BB249" i="1" s="1"/>
  <c r="AB251" i="1"/>
  <c r="BA249" i="1" s="1"/>
  <c r="BB250" i="1" l="1"/>
  <c r="BB244" i="1"/>
  <c r="AZ245" i="1"/>
  <c r="AZ255" i="1" s="1"/>
  <c r="BA250" i="1"/>
  <c r="BA244" i="1"/>
  <c r="BA245" i="1" s="1"/>
  <c r="BA255" i="1" s="1"/>
  <c r="AB730" i="1"/>
  <c r="AB750" i="1"/>
  <c r="AC730" i="1"/>
  <c r="AC750" i="1"/>
  <c r="BB245" i="1" l="1"/>
  <c r="AC741" i="1"/>
  <c r="AC739" i="1"/>
  <c r="AC732" i="1"/>
  <c r="AC761" i="1"/>
  <c r="AC759" i="1"/>
  <c r="AC752" i="1"/>
  <c r="AB752" i="1"/>
  <c r="AB761" i="1"/>
  <c r="AB759" i="1"/>
  <c r="AB741" i="1"/>
  <c r="AB739" i="1"/>
  <c r="AB732" i="1"/>
  <c r="BC243" i="1" l="1"/>
  <c r="BD207" i="1" s="1"/>
  <c r="BB255" i="1"/>
</calcChain>
</file>

<file path=xl/comments1.xml><?xml version="1.0" encoding="utf-8"?>
<comments xmlns="http://schemas.openxmlformats.org/spreadsheetml/2006/main">
  <authors>
    <author>Jorge A. Ortega Cerón</author>
    <author>Mitzi Tatiana Ferro Mojica</author>
    <author>Nelson Orlando Florez Aza</author>
  </authors>
  <commentList>
    <comment ref="I102" authorId="0" shapeId="0">
      <text>
        <r>
          <rPr>
            <sz val="9"/>
            <color indexed="81"/>
            <rFont val="Tahoma"/>
            <family val="2"/>
          </rPr>
          <t>En la versión inicial la meta era 170.</t>
        </r>
      </text>
    </comment>
    <comment ref="X170" authorId="1" shapeId="0">
      <text>
        <r>
          <rPr>
            <b/>
            <sz val="9"/>
            <color indexed="81"/>
            <rFont val="Tahoma"/>
            <family val="2"/>
          </rPr>
          <t>MTFM: PENDIENTE QUE FORMALICEN EN PLANEACIÓN</t>
        </r>
        <r>
          <rPr>
            <sz val="9"/>
            <color indexed="81"/>
            <rFont val="Tahoma"/>
            <family val="2"/>
          </rPr>
          <t xml:space="preserve">
</t>
        </r>
      </text>
    </comment>
    <comment ref="X173" authorId="1" shapeId="0">
      <text>
        <r>
          <rPr>
            <b/>
            <sz val="9"/>
            <color indexed="81"/>
            <rFont val="Tahoma"/>
            <family val="2"/>
          </rPr>
          <t>MTFM: PENDIENTE QUE FORMALICEN EN PLANEACIÓN</t>
        </r>
        <r>
          <rPr>
            <sz val="9"/>
            <color indexed="81"/>
            <rFont val="Tahoma"/>
            <family val="2"/>
          </rPr>
          <t xml:space="preserve">
</t>
        </r>
      </text>
    </comment>
    <comment ref="X176" authorId="1" shapeId="0">
      <text>
        <r>
          <rPr>
            <b/>
            <sz val="9"/>
            <color indexed="81"/>
            <rFont val="Tahoma"/>
            <family val="2"/>
          </rPr>
          <t>MTFM: PENDIENTE QUE FORMALICEN EN PLANEACIÓN</t>
        </r>
        <r>
          <rPr>
            <sz val="9"/>
            <color indexed="81"/>
            <rFont val="Tahoma"/>
            <family val="2"/>
          </rPr>
          <t xml:space="preserve">
</t>
        </r>
      </text>
    </comment>
    <comment ref="X179" authorId="1" shapeId="0">
      <text>
        <r>
          <rPr>
            <b/>
            <sz val="9"/>
            <color indexed="81"/>
            <rFont val="Tahoma"/>
            <family val="2"/>
          </rPr>
          <t>MTFM: PENDIENTE QUE FORMALICEN EN PLANEACIÓN</t>
        </r>
        <r>
          <rPr>
            <sz val="9"/>
            <color indexed="81"/>
            <rFont val="Tahoma"/>
            <family val="2"/>
          </rPr>
          <t xml:space="preserve">
</t>
        </r>
      </text>
    </comment>
    <comment ref="X182" authorId="1" shapeId="0">
      <text>
        <r>
          <rPr>
            <b/>
            <sz val="9"/>
            <color indexed="81"/>
            <rFont val="Tahoma"/>
            <family val="2"/>
          </rPr>
          <t>MTFM: PENDIENTE QUE FORMALICEN EN PLANEACIÓN</t>
        </r>
        <r>
          <rPr>
            <sz val="9"/>
            <color indexed="81"/>
            <rFont val="Tahoma"/>
            <family val="2"/>
          </rPr>
          <t xml:space="preserve">
</t>
        </r>
      </text>
    </comment>
    <comment ref="X185" authorId="1" shapeId="0">
      <text>
        <r>
          <rPr>
            <b/>
            <sz val="9"/>
            <color indexed="81"/>
            <rFont val="Tahoma"/>
            <family val="2"/>
          </rPr>
          <t>MTFM: PENDIENTE QUE FORMALICEN EN PLANEACIÓN</t>
        </r>
        <r>
          <rPr>
            <sz val="9"/>
            <color indexed="81"/>
            <rFont val="Tahoma"/>
            <family val="2"/>
          </rPr>
          <t xml:space="preserve">
</t>
        </r>
      </text>
    </comment>
    <comment ref="X188" authorId="1" shapeId="0">
      <text>
        <r>
          <rPr>
            <b/>
            <sz val="9"/>
            <color indexed="81"/>
            <rFont val="Tahoma"/>
            <family val="2"/>
          </rPr>
          <t>MTFM: PENDIENTE QUE FORMALICEN EN PLANEACIÓN</t>
        </r>
        <r>
          <rPr>
            <sz val="9"/>
            <color indexed="81"/>
            <rFont val="Tahoma"/>
            <family val="2"/>
          </rPr>
          <t xml:space="preserve">
</t>
        </r>
      </text>
    </comment>
    <comment ref="X191" authorId="1" shapeId="0">
      <text>
        <r>
          <rPr>
            <b/>
            <sz val="9"/>
            <color indexed="81"/>
            <rFont val="Tahoma"/>
            <family val="2"/>
          </rPr>
          <t>MTFM: PENDIENTE QUE FORMALICEN EN PLANEACIÓN</t>
        </r>
        <r>
          <rPr>
            <sz val="9"/>
            <color indexed="81"/>
            <rFont val="Tahoma"/>
            <family val="2"/>
          </rPr>
          <t xml:space="preserve">
</t>
        </r>
      </text>
    </comment>
    <comment ref="U222" authorId="2" shapeId="0">
      <text>
        <r>
          <rPr>
            <b/>
            <sz val="9"/>
            <color indexed="81"/>
            <rFont val="Tahoma"/>
            <family val="2"/>
          </rPr>
          <t>Nelson Orlando Florez Aza:</t>
        </r>
        <r>
          <rPr>
            <sz val="9"/>
            <color indexed="81"/>
            <rFont val="Tahoma"/>
            <family val="2"/>
          </rPr>
          <t xml:space="preserve">
Sumatoria de actos administrativos firmados y notificados
(Se entiende como acto administrativo auto o resolución)</t>
        </r>
      </text>
    </comment>
    <comment ref="M231" authorId="2" shapeId="0">
      <text>
        <r>
          <rPr>
            <b/>
            <sz val="9"/>
            <color indexed="81"/>
            <rFont val="Tahoma"/>
            <family val="2"/>
          </rPr>
          <t>Nelson Orlando Florez Aza:</t>
        </r>
        <r>
          <rPr>
            <sz val="9"/>
            <color indexed="81"/>
            <rFont val="Tahoma"/>
            <family val="2"/>
          </rPr>
          <t xml:space="preserve">
por
Sumatoria del Número de no conformidades de la vigencia anterior evaluadas en la vigencia actual y subsanadas por parte del titular minero / Sumatoria del número de no conformidades de la vigencia anterior  evaluadas en la vigencia actual</t>
        </r>
      </text>
    </comment>
    <comment ref="Q234" authorId="2" shapeId="0">
      <text>
        <r>
          <rPr>
            <b/>
            <sz val="9"/>
            <color indexed="81"/>
            <rFont val="Tahoma"/>
            <family val="2"/>
          </rPr>
          <t>Nelson Orlando Florez Aza:</t>
        </r>
        <r>
          <rPr>
            <sz val="9"/>
            <color indexed="81"/>
            <rFont val="Tahoma"/>
            <family val="2"/>
          </rPr>
          <t xml:space="preserve">
Promedio de los últimos 3 trimestres</t>
        </r>
      </text>
    </comment>
    <comment ref="V234" authorId="1" shapeId="0">
      <text>
        <r>
          <rPr>
            <b/>
            <sz val="9"/>
            <color indexed="81"/>
            <rFont val="Tahoma"/>
            <family val="2"/>
          </rPr>
          <t>180903: En el reporte del segundo trimestre, reportan cambio de datos tanto en enumerador como en el denominador, nunerador 88 y lo cambian a 40 y denominador repiortaron 213 y pasa a 183</t>
        </r>
      </text>
    </comment>
    <comment ref="V293" authorId="1" shapeId="0">
      <text>
        <r>
          <rPr>
            <b/>
            <sz val="9"/>
            <color indexed="81"/>
            <rFont val="Tahoma"/>
            <family val="2"/>
          </rPr>
          <t>180614 - 2,9% PROG</t>
        </r>
        <r>
          <rPr>
            <sz val="9"/>
            <color indexed="81"/>
            <rFont val="Tahoma"/>
            <family val="2"/>
          </rPr>
          <t xml:space="preserve">
</t>
        </r>
      </text>
    </comment>
    <comment ref="P295" authorId="1" shapeId="0">
      <text>
        <r>
          <rPr>
            <sz val="9"/>
            <color indexed="81"/>
            <rFont val="Tahoma"/>
            <family val="2"/>
          </rPr>
          <t xml:space="preserve">ojo definir pondercaión se incluye dentro de la calificación por área
</t>
        </r>
      </text>
    </comment>
    <comment ref="P298" authorId="1" shapeId="0">
      <text>
        <r>
          <rPr>
            <sz val="9"/>
            <color indexed="81"/>
            <rFont val="Tahoma"/>
            <family val="2"/>
          </rPr>
          <t xml:space="preserve">ojo definir pondercaión se incluye dentro de la calificación por área
</t>
        </r>
      </text>
    </comment>
    <comment ref="V467" authorId="1" shapeId="0">
      <text>
        <r>
          <rPr>
            <b/>
            <sz val="9"/>
            <color indexed="81"/>
            <rFont val="Tahoma"/>
            <family val="2"/>
          </rPr>
          <t>1808 Invirtieron datos</t>
        </r>
        <r>
          <rPr>
            <sz val="9"/>
            <color indexed="81"/>
            <rFont val="Tahoma"/>
            <family val="2"/>
          </rPr>
          <t xml:space="preserve">
Denominado reportaron 344 y numerador 1225 y era al contrario</t>
        </r>
      </text>
    </comment>
    <comment ref="V528" authorId="1" shapeId="0">
      <text>
        <r>
          <rPr>
            <b/>
            <sz val="9"/>
            <color indexed="81"/>
            <rFont val="Tahoma"/>
            <family val="2"/>
          </rPr>
          <t>55391953 equivale al 2%</t>
        </r>
      </text>
    </comment>
    <comment ref="V529" authorId="1" shapeId="0">
      <text>
        <r>
          <rPr>
            <sz val="9"/>
            <color indexed="81"/>
            <rFont val="Tahoma"/>
            <family val="2"/>
          </rPr>
          <t>2,5%=104014047,975</t>
        </r>
      </text>
    </comment>
    <comment ref="W529" authorId="1" shapeId="0">
      <text>
        <r>
          <rPr>
            <b/>
            <sz val="9"/>
            <color indexed="81"/>
            <rFont val="Tahoma"/>
            <family val="2"/>
          </rPr>
          <t>8.5% = 353.647.763</t>
        </r>
      </text>
    </comment>
    <comment ref="X529" authorId="1" shapeId="0">
      <text>
        <r>
          <rPr>
            <b/>
            <sz val="9"/>
            <color indexed="81"/>
            <rFont val="Tahoma"/>
            <family val="2"/>
          </rPr>
          <t>25%=1.040.140.480</t>
        </r>
      </text>
    </comment>
    <comment ref="Y529" authorId="1" shapeId="0">
      <text>
        <r>
          <rPr>
            <b/>
            <sz val="9"/>
            <color indexed="81"/>
            <rFont val="Tahoma"/>
            <family val="2"/>
          </rPr>
          <t>64% = 2.662.759.628</t>
        </r>
        <r>
          <rPr>
            <sz val="9"/>
            <color indexed="81"/>
            <rFont val="Tahoma"/>
            <family val="2"/>
          </rPr>
          <t xml:space="preserve">
</t>
        </r>
      </text>
    </comment>
  </commentList>
</comments>
</file>

<file path=xl/sharedStrings.xml><?xml version="1.0" encoding="utf-8"?>
<sst xmlns="http://schemas.openxmlformats.org/spreadsheetml/2006/main" count="4007" uniqueCount="1129">
  <si>
    <t xml:space="preserve">AGENCIA NACIONAL DE MINERÍA </t>
  </si>
  <si>
    <t>Lineamientos Estratégicos 2014 -2019 - Plan Operativo Anual 2018 / V4 - 28/09/2018</t>
  </si>
  <si>
    <t>POR REP</t>
  </si>
  <si>
    <t>REPORTADOS</t>
  </si>
  <si>
    <t>DIGITACIÓN DE DATOS</t>
  </si>
  <si>
    <t>PONDERACIÓN GENERAL</t>
  </si>
  <si>
    <t>VERSIÓN 1</t>
  </si>
  <si>
    <t>VERSIÓN 2</t>
  </si>
  <si>
    <t>VERSIÓN 3</t>
  </si>
  <si>
    <t>VERSIÓN 4</t>
  </si>
  <si>
    <t>PROCESOS ESTRATÉGICOS</t>
  </si>
  <si>
    <t>ROJO</t>
  </si>
  <si>
    <t>VERDE</t>
  </si>
  <si>
    <t>P</t>
  </si>
  <si>
    <t>PLANEACIÓN ESTRATÉGICA</t>
  </si>
  <si>
    <t>C</t>
  </si>
  <si>
    <t>GESTIÓN INTEGRAL DE LAS COMUNICACIONES Y RELACIONAMIENTO</t>
  </si>
  <si>
    <t>PROCESOS MISIONALES</t>
  </si>
  <si>
    <t>PYF</t>
  </si>
  <si>
    <t>DELIMITACIÓN Y DECLARACIÓN DE ÁREAS Y ZONAS DE INTERÉS</t>
  </si>
  <si>
    <t>GESTIÓN DE LA INVERSIÓN MINERA</t>
  </si>
  <si>
    <t>CYT</t>
  </si>
  <si>
    <t>GENERACIÓN DE TÍTULOS MINEROS</t>
  </si>
  <si>
    <t>VSYC</t>
  </si>
  <si>
    <t>GESTIÓN INTEGRAL PARA EL SEGUIMIENTO Y CONTROL A LOS TÍTULOS MINEROS</t>
  </si>
  <si>
    <t>VSYC - SM</t>
  </si>
  <si>
    <t>SEGURIDAD MINERA</t>
  </si>
  <si>
    <t>GESTIÓN INTEGRAL DE LA INFORMACIÓN MINERA</t>
  </si>
  <si>
    <t>PYF / CYT</t>
  </si>
  <si>
    <t>ATENCIÓN INTEGRAL Y SERVICIOS A GRUPOS DE INTERÉS</t>
  </si>
  <si>
    <t>PROCESOS DE APOYO</t>
  </si>
  <si>
    <t>GCI</t>
  </si>
  <si>
    <t>ADQUISICIÓN DE BIENES Y SERVICIOS</t>
  </si>
  <si>
    <t>SA</t>
  </si>
  <si>
    <t>ADMINISTRACIÓN DE BIENES Y SERVICIOS</t>
  </si>
  <si>
    <t>GF / J</t>
  </si>
  <si>
    <t>GESTIÓN FINANCIERA</t>
  </si>
  <si>
    <t>TICS</t>
  </si>
  <si>
    <t>ADMINISTRACIÓN DE TECNOLOGÍAS DE LA INFORMACIÓN</t>
  </si>
  <si>
    <t>TH - CID</t>
  </si>
  <si>
    <t>GESTIÓN DEL TALENTO HUMANO</t>
  </si>
  <si>
    <t>J</t>
  </si>
  <si>
    <t>GESTIÓN JURÍDICA</t>
  </si>
  <si>
    <t>GESTIÓN DOCUMENTAL</t>
  </si>
  <si>
    <t>PROCESOS DE EVALUACIÓN</t>
  </si>
  <si>
    <t>CI - P</t>
  </si>
  <si>
    <t>EVALUACIÓN, CONTROL Y MEJORA</t>
  </si>
  <si>
    <t>INDICADORES</t>
  </si>
  <si>
    <t xml:space="preserve"> / </t>
  </si>
  <si>
    <t>ANM</t>
  </si>
  <si>
    <t>OBJETIVOS 2015</t>
  </si>
  <si>
    <t>ACCIONES</t>
  </si>
  <si>
    <t>INDICADOR DE GESTIÓN</t>
  </si>
  <si>
    <t>FUENTE DE DATOS</t>
  </si>
  <si>
    <t>CORTE DE DATOS</t>
  </si>
  <si>
    <t>PONDERACION AREA</t>
  </si>
  <si>
    <t>LINEA BASE</t>
  </si>
  <si>
    <t>META ESTRATEGICA</t>
  </si>
  <si>
    <t>META VIGENCIA</t>
  </si>
  <si>
    <t>TIPO DE META</t>
  </si>
  <si>
    <t>DATOS</t>
  </si>
  <si>
    <t>DATOS ACUMULADOS</t>
  </si>
  <si>
    <t>PRESUPUESTO</t>
  </si>
  <si>
    <t>REGALIAS</t>
  </si>
  <si>
    <t>RESPONSABLE DEL REPORTE</t>
  </si>
  <si>
    <t>RESPONSABLE (S) DEL CUMPLIMIENTO</t>
  </si>
  <si>
    <t>APLICA PARA</t>
  </si>
  <si>
    <t>TRIMESTRE</t>
  </si>
  <si>
    <t>TOTAL</t>
  </si>
  <si>
    <t>FUNCIONAMIENTO</t>
  </si>
  <si>
    <t>INVERSIÓN</t>
  </si>
  <si>
    <t>NOMBRE</t>
  </si>
  <si>
    <t>FÓRMULA</t>
  </si>
  <si>
    <t>DESCRIPCIÓN</t>
  </si>
  <si>
    <t>POA</t>
  </si>
  <si>
    <t>SINERGIA</t>
  </si>
  <si>
    <t>SISTEDA</t>
  </si>
  <si>
    <t>PROYECTOS DE INVERSIÓN</t>
  </si>
  <si>
    <t>GESTIÓN</t>
  </si>
  <si>
    <t>PRODUCTO</t>
  </si>
  <si>
    <t>RESULTADO</t>
  </si>
  <si>
    <t>EFICACIA</t>
  </si>
  <si>
    <t>EFICIENCIA</t>
  </si>
  <si>
    <t>EFECTIVIDAD</t>
  </si>
  <si>
    <t xml:space="preserve">Fortalecer el sistema de Seguimiento de la Planeación Institucional en la ANM </t>
  </si>
  <si>
    <t>Consolidación del Sistema de Seguimiento del BSC</t>
  </si>
  <si>
    <t>% de reportes oportunos de indicadores para alimentar el Cuadro de Mando Integral</t>
  </si>
  <si>
    <t>Verificar la oportunidad de reporte de los indicadores</t>
  </si>
  <si>
    <t>TODOS LOS REPORTES DE LOS INDICADORES</t>
  </si>
  <si>
    <t>Ultimo día del Trimestre (Mar, Jun, Sep y Dic)</t>
  </si>
  <si>
    <t>NA</t>
  </si>
  <si>
    <t>CUMPLIMIENTO TOTAL EN EL PERIODO PROGRAMADO</t>
  </si>
  <si>
    <t>No. de reportes oportunos del periodo</t>
  </si>
  <si>
    <t>Vicepresidencia Administrativa y Financiera
Coordinador Grupo de Planeación</t>
  </si>
  <si>
    <t>X</t>
  </si>
  <si>
    <t>No. de reportes totales proyectados</t>
  </si>
  <si>
    <t>VALOR</t>
  </si>
  <si>
    <t>Mantener y mejorar el Sistema de Medición de la ANM</t>
  </si>
  <si>
    <t>Cumplimiento de las actividades de mantenimiento y mejoramiento</t>
  </si>
  <si>
    <t>Verificar el cumplimiento de las metas programadas</t>
  </si>
  <si>
    <t>No. de metas cumplidas en el periodo</t>
  </si>
  <si>
    <t xml:space="preserve"> No. de metas programadas en el periodo</t>
  </si>
  <si>
    <t>CUMPLIMIENTO PROCESO</t>
  </si>
  <si>
    <t>REGRESAR</t>
  </si>
  <si>
    <t>RESULTADO GENERAL</t>
  </si>
  <si>
    <t>META</t>
  </si>
  <si>
    <t>PROCESO</t>
  </si>
  <si>
    <t>OBJETIVO 
ESTRATÉGICO 2014 - 2019</t>
  </si>
  <si>
    <t>POND. OBJ.
2014-2019</t>
  </si>
  <si>
    <t>OBJETIVOS VIGENCIA</t>
  </si>
  <si>
    <t>POND. OBJ.
VIGENCIA</t>
  </si>
  <si>
    <t>POND</t>
  </si>
  <si>
    <t>RESULTADO PERIODO POR INDICADOR</t>
  </si>
  <si>
    <t>RESULTADO ACUMULADO POR INDICADOR</t>
  </si>
  <si>
    <t>POND OBJ EST 2014-2019</t>
  </si>
  <si>
    <t>ALCANCE</t>
  </si>
  <si>
    <t>I</t>
  </si>
  <si>
    <t>II</t>
  </si>
  <si>
    <t>III</t>
  </si>
  <si>
    <t>IV</t>
  </si>
  <si>
    <t>Consolidar el fortalecimiento institucional de la ANM</t>
  </si>
  <si>
    <t xml:space="preserve">Evaluar el impacto de los proyectos de la ANM </t>
  </si>
  <si>
    <t>Realizar seguimiento a la ejecución de los proyectos</t>
  </si>
  <si>
    <t>% de cumplimiento del Seguimiento a la ejecución de proyectos</t>
  </si>
  <si>
    <t>Incluye la revisión y retroalimentación con los Gerentes de los Proyectos para revisar las actividades, costos y contrataciones relacionadas con los proyectos de la Entidad (inversión y otros)</t>
  </si>
  <si>
    <t>Actas de Memoria / Listas de Asistecia</t>
  </si>
  <si>
    <t>Ejecución SIIF con corte al ultimo día de cada mes</t>
  </si>
  <si>
    <t>Seguimiento realizado a la ejecución de cada proyectos</t>
  </si>
  <si>
    <t>Vicepresidencia Administrativa y Financiera
Grupo de Planeación</t>
  </si>
  <si>
    <t>RESULTADO INDICADOR
POD * ACCION</t>
  </si>
  <si>
    <t>Seguimientos programados en la vigencia por proyecto</t>
  </si>
  <si>
    <t>POD * OBJETIVO VIGENCIA</t>
  </si>
  <si>
    <t>POD * OBJETIVO ESTRATEGICO</t>
  </si>
  <si>
    <t>Realizar acompañamiento en la formulación y documentación de los proyectos</t>
  </si>
  <si>
    <t>% de cumplimiento en la formulación y documentación de los proyectos</t>
  </si>
  <si>
    <t xml:space="preserve">Incluye el acompañamiento en la formulación de proyectos de inversión y la estructuración del banco de proyectos de la ANM. </t>
  </si>
  <si>
    <t>Proyectos aprobados</t>
  </si>
  <si>
    <t>Proyectos  con formulación y documentación aprobada</t>
  </si>
  <si>
    <t>Proyectos de la ANM programdos para formular y documentar</t>
  </si>
  <si>
    <t>Medir el impacto que se derive de la ejecución de los proyectos</t>
  </si>
  <si>
    <t xml:space="preserve">% de cumplimiento de los indicadores (resultado / impacto) asociados a los proyectos </t>
  </si>
  <si>
    <t>Medición del procentaje de cumplimiento de los indicadores de resultado y/o impacto de los proyectos de la ANM (inversión y Banca Multilateral)</t>
  </si>
  <si>
    <t>Consolidado resultado de indicadores de proyectos</t>
  </si>
  <si>
    <t>Ultimo día del Trimestre (Jun, Sep y Dic)</t>
  </si>
  <si>
    <t>% de cumplimiento de los indicadores (resultado / impacto) asociados a los proyectos logrado</t>
  </si>
  <si>
    <t>% de cumplimiento de los indicadores (resultado / impacto) asociados a los proyectos esperado</t>
  </si>
  <si>
    <t>Contribuir al adecuado cumplimiento de las metas presupuestales</t>
  </si>
  <si>
    <r>
      <rPr>
        <sz val="9"/>
        <color theme="1"/>
        <rFont val="Calibri"/>
        <family val="2"/>
        <scheme val="minor"/>
      </rPr>
      <t>Realizar seguimiento a la ejecución del PAA</t>
    </r>
    <r>
      <rPr>
        <u/>
        <sz val="9"/>
        <color indexed="12"/>
        <rFont val="Calibri"/>
        <family val="2"/>
        <scheme val="minor"/>
      </rPr>
      <t xml:space="preserve">
 Ver Plan Anual de Adquisiciones</t>
    </r>
  </si>
  <si>
    <t>% de cumplimiento de la ejecución del PAA</t>
  </si>
  <si>
    <t>Verificación y generación de alertas frente al cumplimiento del presupuesto de la Coordinación de Planeación</t>
  </si>
  <si>
    <t>Seguimiento PAS y SIIF</t>
  </si>
  <si>
    <t xml:space="preserve">PARCIAL DURANTE CADA PERIODO </t>
  </si>
  <si>
    <t>% PAA ejecutado</t>
  </si>
  <si>
    <t>% PAA programado</t>
  </si>
  <si>
    <t>PROGRAMADO REPORTE</t>
  </si>
  <si>
    <t>PROGRAMADO Y ENTREGADO</t>
  </si>
  <si>
    <t>PROGRAMADO Y ENTREGADO OPORTUNAMENTE</t>
  </si>
  <si>
    <t>PENDIENTE DE REPORTE</t>
  </si>
  <si>
    <t>PROGRAMADO CUMPLIMIENTO</t>
  </si>
  <si>
    <t>PROGRAMADO Y CUMPLIDO</t>
  </si>
  <si>
    <t xml:space="preserve">Consolidar el Fortalecimiento Institucional de la ANM </t>
  </si>
  <si>
    <t>Dar a conocer la gestión de la Agencia a la ciudadanía, mediante la divulgación de información</t>
  </si>
  <si>
    <r>
      <rPr>
        <sz val="9"/>
        <color theme="1"/>
        <rFont val="Calibri"/>
        <family val="2"/>
        <scheme val="minor"/>
      </rPr>
      <t>Realizar eventos de participación ciudadana  a  través de los diferentes canales de comunicación con los que cuenta la Agencia</t>
    </r>
    <r>
      <rPr>
        <u/>
        <sz val="9"/>
        <color indexed="12"/>
        <rFont val="Calibri"/>
        <family val="2"/>
        <scheme val="minor"/>
      </rPr>
      <t xml:space="preserve">
Ver Plan Anticorrupción y de Atención al Ciudadano</t>
    </r>
  </si>
  <si>
    <t>% de ejecución de eventos de participación ciudadana a través de canales virtuales</t>
  </si>
  <si>
    <t>Utilizar las redes sociales y demás canales virtuales institucionales para interactuar  con los ciudadanos sobre la gestión de la entidad, de manera descentralizada.</t>
  </si>
  <si>
    <t>Evidencia de la interacción virtual con los ciudadanos</t>
  </si>
  <si>
    <t>Marzo 31
Junio 30
Septiembre 30
Diciembre 31</t>
  </si>
  <si>
    <t>Número de estrategias digitales comunicadas a través de los diferentes canales insticionales</t>
  </si>
  <si>
    <t>Agie Ruíz / Claudia M. González R.</t>
  </si>
  <si>
    <t>Coordinador Grupo de Participación Ciudadana y Comunicaciones</t>
  </si>
  <si>
    <t>Número de eventos programados</t>
  </si>
  <si>
    <t>Dar a conocer la gestión de la Agencia a la ciudadanía, mediante una audiencia pública de rendición de cuentas</t>
  </si>
  <si>
    <r>
      <rPr>
        <sz val="9"/>
        <color theme="1"/>
        <rFont val="Calibri"/>
        <family val="2"/>
        <scheme val="minor"/>
      </rPr>
      <t>Realizar una (1)  audiencia pública de rendición de cuentas</t>
    </r>
    <r>
      <rPr>
        <u/>
        <sz val="9"/>
        <color indexed="12"/>
        <rFont val="Calibri"/>
        <family val="2"/>
        <scheme val="minor"/>
      </rPr>
      <t xml:space="preserve">
Ver Plan Anticorrupción y de Atención al Ciudadano</t>
    </r>
  </si>
  <si>
    <t>% de ejecución de audiencia pública de rendición de cuentas</t>
  </si>
  <si>
    <t>Promover el diálogo en doble vía entre la entiodad y sus públicos objetivo</t>
  </si>
  <si>
    <t>Informe Audiencia Pública de Rendición de Cuentas</t>
  </si>
  <si>
    <t xml:space="preserve">
Diciembre 31</t>
  </si>
  <si>
    <t>Número de eventos realizados</t>
  </si>
  <si>
    <r>
      <rPr>
        <sz val="9"/>
        <color theme="1"/>
        <rFont val="Calibri"/>
        <family val="2"/>
        <scheme val="minor"/>
      </rPr>
      <t>Publicar noticias relevantes del sector minero y sobre la gestión de la entidad a la opinión pública en general</t>
    </r>
    <r>
      <rPr>
        <u/>
        <sz val="9"/>
        <color indexed="12"/>
        <rFont val="Calibri"/>
        <family val="2"/>
        <scheme val="minor"/>
      </rPr>
      <t xml:space="preserve">
Ver Plan Anticorrupción y de Atención al Ciudadano</t>
    </r>
  </si>
  <si>
    <t xml:space="preserve">%  de redacción de comunicados divulgados en los diferentes medios  </t>
  </si>
  <si>
    <t>Trabajar de manera coordinada con las diferentes áreas con el fin de detectar los temas de interés para las fuentes en los medios de comunicación, de acuerdo a la demanada de la entidad.</t>
  </si>
  <si>
    <t xml:space="preserve">Informe Trimestral </t>
  </si>
  <si>
    <t>Marzo 2018
Junio 2018
Septiembre 2018
Diciembre 2018</t>
  </si>
  <si>
    <t>Por definir</t>
  </si>
  <si>
    <t>Número de publicaciones obtenidas en medios de comunicación</t>
  </si>
  <si>
    <t>Número de información enviada</t>
  </si>
  <si>
    <t>Dar a conocer  la  información relevante de la entidad,  a través de campañas, al público interno</t>
  </si>
  <si>
    <t>Realizar campañas internas con la información relevante de la entidad</t>
  </si>
  <si>
    <t xml:space="preserve">%  de campañas internas realizadas  </t>
  </si>
  <si>
    <t>Trabajar de manera coordinada con las diferentes áreas con el fin de detectar los temas de interés para el  desarrollo de campañas internas, de acuerdo a la demanada de la entidad.</t>
  </si>
  <si>
    <t>Número de campañas realizadas</t>
  </si>
  <si>
    <t>Número de Campañas solicitadas</t>
  </si>
  <si>
    <t>Optimizar la gestión de concesiones de títulos y los trámites asociados a la titularidad</t>
  </si>
  <si>
    <t>Fomentar el desarrollo de una pequeña y mediana minería tecnificada, productiva, competitiva y con altos estándares de seguridad</t>
  </si>
  <si>
    <t>Decidir de fondo 230 solicitudes de ARE que al 31-12-2017 se encontraban en trámite.</t>
  </si>
  <si>
    <t xml:space="preserve">% de solicitudes de ARE en trámite al 31-12-2017 decididas de fondo </t>
  </si>
  <si>
    <t xml:space="preserve">Al 31-12-2017 se encontraban en trámite 262 solicitudes de AREs, de las cuales se propone decidir de fondo 230 (es decir, el 88%), en consideración a los limitados recursos asignados para este fin en la presente vigencia.  En el 2017 se resolvieron de fondo 116 de las 188 solicitudes de AREs que estaban en trámite al 31-12-2016 (es decir, el 62%).  </t>
  </si>
  <si>
    <t># de solicitudes de ARE en trámite al 31-12-2017 decididas de fondo/# de solicitudes de ARE en trámite al 31-12-2017 priorizadas para resolver</t>
  </si>
  <si>
    <t>Cuadro Control de Actos Administrativos de la VPF</t>
  </si>
  <si>
    <t>Último día del Trimestre (Marz., Jun., Sep. y Dic.)</t>
  </si>
  <si>
    <t xml:space="preserve">100% de lo programado </t>
  </si>
  <si>
    <t>Parcial durante cada periodo</t>
  </si>
  <si>
    <t># de solicitudes de ARE en trámite al 31-12-2017 decididas de fondo</t>
  </si>
  <si>
    <t>Gerente de Fomento</t>
  </si>
  <si>
    <t>Vicepresidente de Promoción y Fomento
Gerente de Fomento</t>
  </si>
  <si>
    <t># de solicitudes de ARE en trámite al 31-12-2017 priorizadas para resolver</t>
  </si>
  <si>
    <t xml:space="preserve">Elaborar 18 Estudios Geológico-Mineros (EGM) de AREs declaradas. </t>
  </si>
  <si>
    <t>% de EGM de AREs declaradas elaborados</t>
  </si>
  <si>
    <t xml:space="preserve">En consideración a los limitados recursos asignados a esta labor, en la presente vigencia se propone realizar 18 EGM, los cuales se necesitan para que los mineros tradicionales puedan elaborar los correspondientes PTO, los que, a su vez, se requieren para otorgar los respectivos contratos especiales de concesión. </t>
  </si>
  <si>
    <t>Base de Datos AREs Grupo de Fomento</t>
  </si>
  <si>
    <t>Último día del Semestre (Jun. y Dic.)</t>
  </si>
  <si>
    <t># de EGM de AREs declaradas elaborados</t>
  </si>
  <si>
    <t># de EGM de AREs declaradas programados</t>
  </si>
  <si>
    <t>Realizar seguimiento al cumplimiento de las obligaciones derivadas de la declaración y delimitación de 64 AREs declaradas al 31-12-2017.</t>
  </si>
  <si>
    <t>% de AREs declaradas al 31-12-2017 con seguimiento al cumplimiento sus obligaciones</t>
  </si>
  <si>
    <t>A la fecha se cuenta con 74 AREs declaradas en firme, de las cuales 10 tienen pendiente la definición de la comunidad minera, razón por la cual se propone esta acción para 64.</t>
  </si>
  <si>
    <t>Actas de visitas de seguimiento al cumplimiento de obligaciones por AREs declaradas al 31-12-2017</t>
  </si>
  <si>
    <t>AREs declaradas al 31-12-2017 con comunidad minera definida</t>
  </si>
  <si>
    <t>Dar asistencia técnica a 10 UPM priorizadas por la VPF.</t>
  </si>
  <si>
    <t xml:space="preserve">% de visitas de asistencia técnica realizadas a las UPM priorizadas por la VPF </t>
  </si>
  <si>
    <t>Esta acción puede ser para UPM que recibieron asistencia técnica por parte de la ANM en 2017 y/o para nuevas UPM que se prioricen por la VPF para atender en 2018.  De todas formas, este alcance va a depender en definitiva de los resultados del correspondiente proceso contractual.</t>
  </si>
  <si>
    <t>31 Dic.</t>
  </si>
  <si>
    <t>Cumplimiento total en el periodo programado</t>
  </si>
  <si>
    <t># de visitas de asistencia técnica realizadas a las UPM priorizadas por la VPF</t>
  </si>
  <si>
    <t># de visitas de asistencia técnica programadas a las UPM priorizadas por la VPF</t>
  </si>
  <si>
    <t>Resolver de fondo 10 solicitudes de ZM que al 31-12-2017 se encontraban en trámite.</t>
  </si>
  <si>
    <t>% de solicitudes de ZM en trámite al 31-12-2017 resueltas de fondo</t>
  </si>
  <si>
    <t xml:space="preserve">Al 31-12-2017 existían 37 solicitudes de ZM en trámite, de las cuales se propone decidir de fondo 10 (es decir, el 27%), en consideración a los limitados recursos asignados a esta labor. En el 2017 se resolvieron de fondo 27 de las 54 solicitudes de ZM que estaban en trámite al 31-12-2016 (es decir, el 50%).  </t>
  </si>
  <si>
    <t># de solicitudes de ZM en trámite al 31-12-2017 resueltas de fondo</t>
  </si>
  <si>
    <t># de solicitudes de ZM en trámite al 31-12-2017 priorizadas para resolver</t>
  </si>
  <si>
    <t>*</t>
  </si>
  <si>
    <t>Fortalecer la articulación interinstitucional</t>
  </si>
  <si>
    <t>Promover la inclusión del uso minero en los POT/POD de las entidades territoriales priorizadas por la VPF</t>
  </si>
  <si>
    <t>Dar asistencia técnica a 10 entidades territoriales priorizadas por la VPF para la inclusión del uso minero en sus  POT/POD.</t>
  </si>
  <si>
    <t xml:space="preserve">% de entidades territoriales con propuesta de inclusión del uso minero en sus POT/POD </t>
  </si>
  <si>
    <r>
      <t xml:space="preserve">La acción consiste en la elaboración y entrega a las autoridades locales de las entidades territoriales priorizadas por la VPF del documento técnico para la inclusión del uso minero en sus respectivos POT/POD. </t>
    </r>
    <r>
      <rPr>
        <sz val="9"/>
        <color indexed="10"/>
        <rFont val="Calibri"/>
        <family val="2"/>
      </rPr>
      <t xml:space="preserve"> </t>
    </r>
  </si>
  <si>
    <t xml:space="preserve">Actas o comunicaciones de entrega a las entidades territoriales de las propuestas de inclusión del uso minero en sus POT/POD </t>
  </si>
  <si>
    <t>Propuestas de inclusión del uso minero en los POT/POD de las entidades territoriales priorizadas por la VPF</t>
  </si>
  <si>
    <t>Entidades territoriales priorizadas por la VPF</t>
  </si>
  <si>
    <t>Fortalecer el posicionamiento de la actividad minera a nivel nacional e internacional</t>
  </si>
  <si>
    <t>Promover a nivel nacional e internacional la inversión en el sector minero del país</t>
  </si>
  <si>
    <t>Alinderar áreas libres con alto y/o medio potencial para minerales estratégicos susceptibles de reservar para una posible delimitación y declaración de AEM.</t>
  </si>
  <si>
    <t>% de documentos de alinderación de áreas libres susceptibles de reservar para una posible delimitación y declaración de AEM</t>
  </si>
  <si>
    <t>Con base en la nueva información sobre potencial geológico-minero medio y/o alto para minerales estratégicos que presente el SGC o en la que se encuentre ya disponible en la ANM para determinadas áreas del país, se deben realizar todos los recortes de área que procedan, para identificar áreas libres para poder reservar con fines de promover el inicio de un proceso de delimitación y declaración de AEM.</t>
  </si>
  <si>
    <t>Grupo de Promoción</t>
  </si>
  <si>
    <t>Documentos de alinderación de áreas libres susceptibles de reservar para una posible delimitación y declaración de AEM</t>
  </si>
  <si>
    <t>Gerente de Promoción</t>
  </si>
  <si>
    <t>Vicepresidente de Promoción y Fomento
Gerente de Promoción</t>
  </si>
  <si>
    <t>Áreas priorizadas para una posible delimitación y declaración de AEM</t>
  </si>
  <si>
    <t xml:space="preserve">Consolidar el fortalecimiento institucional </t>
  </si>
  <si>
    <t xml:space="preserve">Fortalecer la ejecución presupuestal de la entidad </t>
  </si>
  <si>
    <r>
      <rPr>
        <sz val="9"/>
        <color theme="1"/>
        <rFont val="Calibri"/>
        <family val="2"/>
        <scheme val="minor"/>
      </rPr>
      <t xml:space="preserve">Ejecutar el presupuesto asignado, según programación en el SIIF y el Plan Anual de Adquisiciones (PAA). 
</t>
    </r>
    <r>
      <rPr>
        <u/>
        <sz val="9"/>
        <color indexed="12"/>
        <rFont val="Calibri"/>
        <family val="2"/>
        <scheme val="minor"/>
      </rPr>
      <t xml:space="preserve">
Ver Plan Anual de Adquisiciones</t>
    </r>
  </si>
  <si>
    <t>% de ejecución presupuestal</t>
  </si>
  <si>
    <t xml:space="preserve">Garantizar la ejecución presupuestal de la dependencia, según la mensualización programada del PAA. </t>
  </si>
  <si>
    <t>SIIF</t>
  </si>
  <si>
    <t>Ejecución presupuestal (SIIF)</t>
  </si>
  <si>
    <t>Gerente de Fomento
Gerente de Promoción</t>
  </si>
  <si>
    <t>Vicepresidente de Promoción y Fomento Gerente de Fomento
Gerente de Promoción
Vicepresidencia Administrativa y Financiera (Grupo de Contratación)</t>
  </si>
  <si>
    <t>Programación presupuestal (PAA)</t>
  </si>
  <si>
    <t>Realizar 4 eventos de promoción del sector minero colombiano.</t>
  </si>
  <si>
    <t>% de eventos de promoción del sector minero colombiano realizados</t>
  </si>
  <si>
    <t>Los eventos pueden ser realizados directamente por la ANM o conjuntamente con otras entidades del sector.</t>
  </si>
  <si>
    <t>Base de Datos Grupo de Promoción</t>
  </si>
  <si>
    <t># de eventos de promoción del sector minero colombiano realizados</t>
  </si>
  <si>
    <t># de eventos de promoción del sector minero colombiano programados</t>
  </si>
  <si>
    <t>Contribuir en el desarrollo sostenible del sector minero a través de la titulación minera</t>
  </si>
  <si>
    <t>Gestionar oportunamente las propuestas de contrato de concesión dentro de los tiempos establecidos (180 dias)</t>
  </si>
  <si>
    <t>Oportunidad en la gestion a solicitudes de contratos de concesión</t>
  </si>
  <si>
    <t>Tiempo establecido: 180 dias calendario.
Alcance inicio - fin:
Inicia: Con la fecha de radicación de la solicitud en el CMC.
Implica: Realizar las evaluaciones técnicas, económicas y jurídicas del caso.
finaliza: Con el acto administrativo que puede ser un acto que resuelve de fondo (rechazo) o a través de un concepto que otorga viabilidad. 
Periodo de Medición: Las solicitudes medidas en este indicador  son las recibidas a partir de 1 de enero del 2018.
Alcance de la formula: 
Denominador: El total de Solicitudes  programadas para tramitar en el semestre hace referencia a todas las solicitudes que dentro del periodo tienen vencimiento de terminos (180 días).
Númerador: El # de Solicitudes gestionadas dentro de los tiempos establecidos, hace referencia a todas las soclicitudes tramitadas oportunamente que estaban para vencimiento dentro de ese periodo. Las solicitudes que se gestionen dentro de ese periodo pero que la fecha de vencimiento no estab dentro de este rango de tiempo no se deberan incluir, se deberán reportar en el periodo para el cual tiene fecha de vencimiento.
Otras variables: Cuando me llegue una concesión nueva en la que esta solicitando un área que ya ha sido requerida en una anterior solicitud y siguiente el lineamiento de: primero en el tiempo primero en el derecho debo solucionar el tramite por la capa (área) tramitando primero las antiguas relacionadas con la misma área y la nueva solicitud al tiempo.
Dentro del análisis del indicador se debe detallar aquellas solicitudes que se tramitaron, pero se hizo un auto de trámite de requerimiento que suspende el término hasta que el solicitante allegue la documentación, y no serán tenidos en cuenta. Este tipo de trámites se incluirán en la medición del periodo que le corresponda el nuevo vencimiento.</t>
  </si>
  <si>
    <t>*Solicitudes recibidas se registran CMC
*Solicitudes gestionadas se verifica frente al consecutivo de resoluciones para el caso de los rechazados. Para los viabilizados se hara con la base de datos.</t>
  </si>
  <si>
    <t># de Solicitudes gestionadas dentro de los tiempos establecidos durante el periodo</t>
  </si>
  <si>
    <t>Vicepresidencia de Contratación y Titulación
Grupo de Contratación Minera</t>
  </si>
  <si>
    <t>Vicepresidencia de Contratación y Titulación
Grupo de Contratación Minera / Gerente de Proyectos</t>
  </si>
  <si>
    <t>Total de Solicitudes  programadas para tramitar en el periodo</t>
  </si>
  <si>
    <t>Proyectar 4.000 actos administrativos del total (8.046) propuestas de contrato de concesión y Autorizaciones temporales</t>
  </si>
  <si>
    <t>% de Actos administrativos que resuelven la solicitud de propuestas de contrato de concesión y Autorizaciones Temporales</t>
  </si>
  <si>
    <t xml:space="preserve">El año 2017 finalizó con 8.046 solicitudes de propuestas de contrato de concesión  y autorizaciones temporales vigentes, por lo tanto, partiendo de esta base, se proyectan resolver de fondo 4.000 de estas solicitudes, lo que equivale al 49,7%.
Este indicador hace referencia a las cifras reportadas ante el consejo directivo, el cual tiene como objetivo disminuir en un 30% las solicitudes de contratos de concesión y/o autorizaciones temporales pendientes a corte del 31 dic de 2017. </t>
  </si>
  <si>
    <t>Base de datos numeración de resoluciones con corte ultimo dia habil del mes</t>
  </si>
  <si>
    <t>No. de Actos administrativos que resuelven de fondo las propuestas de contrato de concesión</t>
  </si>
  <si>
    <t>No. de Actos administrativos que resuelven de fondo las propuetas de contrato de concesión programadas</t>
  </si>
  <si>
    <t xml:space="preserve">Proyectar 2.215 actos administrativos que le den impulso a las propuestas de contrato de concesión y autorizaciones temporales (8.046)
</t>
  </si>
  <si>
    <t>% de cumplimiento con la meta de proyección de actos administrativos que le dan impulso al proceso de propuestas de contrato de concesión y autorizaciones temporales</t>
  </si>
  <si>
    <t>El año 2017 finalizó con 7.903 solicitudes de propuestas de contrato de concesión vigentes y 143 At, es decir 8046 solicitudes, partiendo de esta base, se proyectan darle impulso a 2.215 de estas solicitudes, lo que equivale al 28%</t>
  </si>
  <si>
    <t>Base de datos numeración de autos con corte ultimo dia habil del mes</t>
  </si>
  <si>
    <t>No. de autos de trámite que impulsan la propuesta de contrato de concesión y Autorizaciones Temporales vigentes</t>
  </si>
  <si>
    <t>No. de autos de trámite que impulsan la propuesta de contrato de concesión y Autorizaciones Temporales programadas</t>
  </si>
  <si>
    <t>Evaluar técnica y jurídicamente 3848 propuestas de contrato de conceción y autorizaciones temporales</t>
  </si>
  <si>
    <t>% de cumplimiento con la meta de evaluación técnica y juridica de las propuestas de contrato de concesión y autorizaciones temporales</t>
  </si>
  <si>
    <t>El año 2017 finalizó con 7.903 solicitudes de propuestas de contrato de concesión vigentes y 143 At, es decir 8046 solicitudes; adicional a ello se recibiran aproximadamente 1860 nuevas solicitudes de AT y Propuestas de contrato de concesión, lo que significa que tendrian un total de 9.906 solicitudes para evaluar, en ese sentido se proyecta evaluar tecnica, juridica y economicamente cuando aplique  a 3.848 de estas solicitudes, lo que equivale al 39%</t>
  </si>
  <si>
    <t>Base de datos de control (reparto y devoluciones) con corte ultimo dia habil del mes</t>
  </si>
  <si>
    <t>No. evaluaciones técnicas y juridicas realizadas</t>
  </si>
  <si>
    <t>No. evaluaciones técnicas y juridicas programadas en el periodo</t>
  </si>
  <si>
    <t>Otorgar 264 contratos dentro de los trámites de Autorizaciones Temporales y Propuestas de Contrato de Concesión</t>
  </si>
  <si>
    <t>% de Cumplimiento con la meta de otorgamiento de contratos dentro de los trámites de Autorizaciones Temporales y Propuestas de Contrato de Concesión.</t>
  </si>
  <si>
    <t xml:space="preserve">Se otorgará contrato a aquellas solicitudes que luego de tener viabilidad técnica, jurídica y económica cuando aplique, y que se considere ha cumplido con los requisitos para el otorgamiento; esto incluye haber cumplido con lo establecido en la Sentencia C-389/2016, es decir; concertación con los alcaldes y audiencias públicas. Lo anterior, aplica únicamente para solicitudes de propuestas de contrato de concesión. </t>
  </si>
  <si>
    <t>Reporte mensual de la Gerencia de Catastro y RMN</t>
  </si>
  <si>
    <t>No. de contratos otrogadas</t>
  </si>
  <si>
    <t>Total de minutas de contrato programadas para el periodo</t>
  </si>
  <si>
    <t xml:space="preserve">Contribuir a la Formalización a partir de la evaluación de los programas de legalización minera y la figura de subcontratos de formalización.  </t>
  </si>
  <si>
    <t>Evaluar técnica y jurídicamente 350 solicitudes de legalización minera y subcontratos de formalización</t>
  </si>
  <si>
    <t>% de cumplimiento con la meta de evaluación técnica y juridica de solicitudes de legalización minera y subcontratos de formalización</t>
  </si>
  <si>
    <t xml:space="preserve">Con corte a 31 diciembre de 2017, el Grupo de Legalización Minera cuenta con: 1.645 Solicitudes de Formalización de Minería Tradicional vigentes,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por lo tanto el Grupo de Legalización Minera realizará 350 evaluaciones producto de las solicitudes en curso  más las solicitudes de Subcontratos de Formalización que se radiquen durante la vigencia 2018.  </t>
  </si>
  <si>
    <t>No. evaluaciones técnicas y juridicas realizadas a solicitudes de legalización minera y subcontratos de formalización</t>
  </si>
  <si>
    <t>Vicepresidencia de Contratación y Titulación
Grupo de Legalización Minera</t>
  </si>
  <si>
    <t>Vicepresidencia de Contratación y Titulación
Grupo de Legalización Minera / Gerente de Proyectos</t>
  </si>
  <si>
    <t>No. evaluaciones técnicas y juridicas programadas a solicitudes de legalización minera y subcontratos de formalización</t>
  </si>
  <si>
    <t>Proyectar 135 autos dentro de los trámites de las solicitudes de legalización minera y subcontratos de formalización</t>
  </si>
  <si>
    <t>% de cumplimiento con la meta de proyección de autos dentro de los trámites de solicitudes de legalización minera y subcontratos de formalización</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</si>
  <si>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más las solicitudes de subcontrato que se radiquen durante la vigencia 2018,  y  los actos administrativos de incorporación y foliación  de documentos en un expediente. De los procesos mencionados el Grupo de Legalización Minera realizará 135 autos.</t>
  </si>
  <si>
    <t>No. actos autos proyectados en los trámites de solicitudes de legalización minera  y subcontratos de formalización</t>
  </si>
  <si>
    <t>Total de autos programados a realizar durante el periodo</t>
  </si>
  <si>
    <t>Proyectar 40 resoluciones dentro de los trámites de legalización minera y subcontratos de formalización</t>
  </si>
  <si>
    <t>% de cumplimiento con la meta de proyección de resoluciones en los trámites de solicitudes de legalización minera</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</si>
  <si>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155 solicitudes (Legalización de Minería de Hecho y Subcontratos), más las solicitudes de subcontrato que se radiquen durante la vigencia 2018,  de lo anterior se realizaran las resoluciones que resuelvan situaciones jurídicas de fondo y los desistimientos con relación al programa del decreto 933 de 2013. De los procesos mencionados el Grupo de Legalización Minera proferirá 40 resoluciones.</t>
  </si>
  <si>
    <t>No. de resoluciones proyectadas</t>
  </si>
  <si>
    <t>Total de resoluciones a proyectar en el periodo</t>
  </si>
  <si>
    <t>Proyectar 20 minutas de contrato de concesión dentro de los trámite de legalización minera</t>
  </si>
  <si>
    <t>% de cumplimiento con la meta de proyectar minutas de contrato dentro de los trámites de solicitudes de legalización minera</t>
  </si>
  <si>
    <t>Con corte a 31 diciembre de 2017, el Grupo de Legalización Minera se encontraba tramitando: 1.645 Solicitudes de Formalización de Minería Tradicional, 121 Solicitudes de Legalización de Minería de Hecho y 34 Solicitudes de Subcontrato de Formalización Minera. No obstante, con ocasión a la decisión adoptada por el Consejo de Estado que ordenó como medida cautelar la suspensión del Decreto 933 de 2013, y el concepto de la Oficina Jurídica de la Agencia Nacional de Minera, no se están tramitando las Solicitudes de Formalización de Minería Tradicional, (sin embargo se tramitaran los desistimientos  que se presenten en virtud del Programa de Legalización de Minería Tradicional Decreto 933 de 2013, siendo la expedición de una resolución la única actuación administrativa) por esta razón actualmente se gestionaran 121 solicitudes (Legalización de Minería de Hecho), de las cuales según evaluación  se proyectaran 20 minutas de contratos de concesión debidamente inscritas en el Registro Minero Nacional Colombiano.</t>
  </si>
  <si>
    <t>No. de minutas de contrato de concesión proyectadas</t>
  </si>
  <si>
    <t>Total de minutas de contrato de concesión programadas para el periodo</t>
  </si>
  <si>
    <t>Realizar 30 visitas técnicas dentro de los trámites de legalización minera y subcontratos de formalización</t>
  </si>
  <si>
    <t>% de cumplimiento con la meta de visitas técnicas dentro de los trámites de solicitudes de legalización minera y subcontratos de formalización</t>
  </si>
  <si>
    <t>La meta de acuerdo proyecto de inversión es de 30 visitas para el año 2018 y en ese sentido esta alineado conforme el proyecto de inversión</t>
  </si>
  <si>
    <t>Base de datos de control de visitas con corte ultimo dia habil del mes</t>
  </si>
  <si>
    <t>No de visitas técnicas a solicitudes de legalización minera y subcontratos de formalización</t>
  </si>
  <si>
    <t>Total de  de visitas técnicas a solicitudes de legalización minera programadas para el periodo</t>
  </si>
  <si>
    <t>Consolidar el Fortalecimiento Institucional de la ANM</t>
  </si>
  <si>
    <t xml:space="preserve">Fortalecer la ejecución presupuestal de la Entidad </t>
  </si>
  <si>
    <r>
      <rPr>
        <sz val="9"/>
        <color theme="1"/>
        <rFont val="Calibri "/>
      </rPr>
      <t xml:space="preserve">Ejecutar el presupuesto asignado conforme a lo programado en el SIIF y el Plan Anual de adquisiciones 
</t>
    </r>
    <r>
      <rPr>
        <u/>
        <sz val="9"/>
        <color indexed="12"/>
        <rFont val="Calibri "/>
      </rPr>
      <t xml:space="preserve">
Ver Plan Anual de Adquisiciones </t>
    </r>
  </si>
  <si>
    <t>% de ejecución presupuestal (inversión y Funcionamiento)</t>
  </si>
  <si>
    <t xml:space="preserve">Garantizar la ejecución del presupusto de la entidad asegún lo acordado en la mensualización del Plan de Adquisicones </t>
  </si>
  <si>
    <t>Ejecución SIIF con corte al ultimo día de cada mes.</t>
  </si>
  <si>
    <t>% de Ejecución presupuestal de inversión y Funcionamiento  (SIIF) (obligaciones)</t>
  </si>
  <si>
    <t>Vicepresidencia de Contratación y Titulación</t>
  </si>
  <si>
    <t>Vicepresidencia de Contratación y Titulación
Vicepresidencia Administrativa y Financiera
Grupo de Contratación</t>
  </si>
  <si>
    <t xml:space="preserve">% de Programación presupuestal de Inversión y Funcionamiento (Plan Anual de Adquisiciones) </t>
  </si>
  <si>
    <t>Fortalecer el proceso de revisión, mejoramiento y aplicación de los procedimientos del área</t>
  </si>
  <si>
    <t>Identificar los procedimientos del Area, mejora, actualizar y ajustar según sea identificado</t>
  </si>
  <si>
    <t>% de cumplimiento de la revisón de los procedimientos del área</t>
  </si>
  <si>
    <r>
      <t xml:space="preserve">Garantizar dentro del proceso de mejora continua, la revisión y ajuste de los procedimientos que se identifique requieran ajuste con base en los linemientos de Ley y los lineamientos de la alta dirección
</t>
    </r>
    <r>
      <rPr>
        <b/>
        <sz val="9"/>
        <color theme="1"/>
        <rFont val="Calibri"/>
        <family val="2"/>
        <scheme val="minor"/>
      </rPr>
      <t>GENERACIÓN DE TITULOS MINEROS</t>
    </r>
    <r>
      <rPr>
        <sz val="9"/>
        <color theme="1"/>
        <rFont val="Calibri"/>
        <family val="2"/>
        <scheme val="minor"/>
      </rPr>
      <t xml:space="preserve"> (1. Otorgamiento de Autorizaciones Temporales, 2. Formalización de Mineria Tradicional, 3. Legalización de Mineria de Hecho, 4. Subcontrato de formalización Minera, 5. Custodia de Expedientes mineros)
</t>
    </r>
    <r>
      <rPr>
        <b/>
        <sz val="9"/>
        <color theme="1"/>
        <rFont val="Calibri"/>
        <family val="2"/>
        <scheme val="minor"/>
      </rPr>
      <t>GESTION INTEGRAL PARA EL SEGUIMIENTO Y CONTROL A LOS TITULOS MINEROS</t>
    </r>
    <r>
      <rPr>
        <sz val="9"/>
        <color theme="1"/>
        <rFont val="Calibri"/>
        <family val="2"/>
        <scheme val="minor"/>
      </rPr>
      <t xml:space="preserve"> (1. Modificación de titulos mineros)
GESTION INTEGRAL DE LA INFORMACIÓN MINERA ( 1. Incorporación y actualización de areas en las coberturas geográficas, 2. Inscripciones y anotaciones de actos administrativos y judiciales en el RMN, 3. Desanotación de actos sujetos a RMN)
ATENCIÓN INTEGRAL Y SERVICIOS A GRUPOS DE INTERES (1. Atención al usuario Minero, 2. Notificación de actos administrativos)</t>
    </r>
  </si>
  <si>
    <t>Actualización Isolución</t>
  </si>
  <si>
    <t xml:space="preserve">No. de Procedimientos revisados </t>
  </si>
  <si>
    <t>Vicepresidencia de Contratación y Titulación
Todos los coordibadores</t>
  </si>
  <si>
    <t xml:space="preserve">Vicepresidencia de Contratación y Titulación
Todos los coordinadores </t>
  </si>
  <si>
    <t>No. de Procedimientos vigentes programados para revisión</t>
  </si>
  <si>
    <t>Fortalecer el relacionamiento con el ciudadano</t>
  </si>
  <si>
    <t>Desarrollar audiencias públicas para informar a los ciudadanos acerca de los proyectos de exploración que se lleguen a definir en sus municipios.</t>
  </si>
  <si>
    <t>% de audiencias realizadas</t>
  </si>
  <si>
    <t>Garantizar la participación de la ciudadania dentro del proceso de Generación de Titulos Mineros
Garantizar a la ciudadanía el acceso a la información relativa a los proyectos mineros que se adelanten en sus territorios</t>
  </si>
  <si>
    <t>Listados de asistencia, material audiovisual, material sonoro, comunicado de 
prensa</t>
  </si>
  <si>
    <t>No. de audiencias realizadas en el periodo</t>
  </si>
  <si>
    <t>No. de audiencias convocadas</t>
  </si>
  <si>
    <t>Fortalecer el seguimiento integral y control de los títulos mineros en los aspectos Económicos, técnicos, jurídicos y de seguridad minera</t>
  </si>
  <si>
    <t>Disponer los recursos para que puedan ser usados de forma efectiva dentro del Sistema General de Regalías</t>
  </si>
  <si>
    <t>Identificar, depurar y consolidar los pagos de los titulares mineros provenientes de regalías y compensaciones, detallando la información requerida para que el DNP pueda proceder a la distribución tanto de asignaciones directas como de los demás fondos que componen el Sistema General de Regalías</t>
  </si>
  <si>
    <t>1.  % de identificación  de recursos recaudados por concepto de regalías y compensaciones</t>
  </si>
  <si>
    <t>Se quiere medir el porcentaje de recursos identificados para poder ser distribuidos por el DNP sobre los ingresos por pagos de regalías.</t>
  </si>
  <si>
    <t>Vicepresidencia de Seguimiento y Control - Grupo Regalías</t>
  </si>
  <si>
    <t>Ultimo día del Trimestre (Mar, Jun, Sept y Dic)</t>
  </si>
  <si>
    <t xml:space="preserve">% de recursos identificados para distribución </t>
  </si>
  <si>
    <t xml:space="preserve">Gerente Regalías y Contraprestaciones Económicas  / Vicepresidencia de Seguimiento y Control </t>
  </si>
  <si>
    <t>Gerente de Regalías y Contraprestaciones Económicas / Vicepresidencia de Seguimiento, Control y Seguridad Minera</t>
  </si>
  <si>
    <t xml:space="preserve">% esperado de recursos identificados para distribución  </t>
  </si>
  <si>
    <t>Realizar control sobre la comercializacion de minerales en el país</t>
  </si>
  <si>
    <t>Mantener actualizado el registro de comercializadores del Registro Unico de Comercializadores de Minerales respecto a las solicitudes de inscripción que se reciben en la ANM</t>
  </si>
  <si>
    <t>2.  %  de solicitudes de inscripción en el RUCOM tramitadas por la ANM en menos de un mes</t>
  </si>
  <si>
    <t>Medir la evalución dentro de los terminos propuestos en la meta de las solicitudes de inscripción en RUCOM recibidas</t>
  </si>
  <si>
    <t>Aplicativo RUCOM en el que se registran las nuevas solicitudes y las fechas de las solicitudes de renovación</t>
  </si>
  <si>
    <t>I TRIMESTRE (Recibido en enero y febrero)
II TRIMESTRE (Recibido en marzo, abril y mayo)
III TRIMESTRE (Recibido en junio, julio y agosto)
IV TRIMESTRE (Recibido en septimbre, octubre y noviembre)</t>
  </si>
  <si>
    <t>N/A</t>
  </si>
  <si>
    <t>Solicitudes de inscripción en el Rucom que se atendieron dentro del los terminos (30 dias)</t>
  </si>
  <si>
    <t>Total solicitudes de Rucom recibidas dentro de cada trimestre (Conforme al corte de datos)</t>
  </si>
  <si>
    <t>Disponer de recursos para el funcionamiento de la ANM</t>
  </si>
  <si>
    <t>Identificar los pagos de los titulares mineros correspondientes a los recursos propios de la ANM de la actual vigencia, para el registro oportuno de los ingresos por parte del grupo de financiera</t>
  </si>
  <si>
    <t>3. % de identificación y registro de los recuados de recursos propios de la ANM  de la vigencia 2018</t>
  </si>
  <si>
    <t>Se quiere medir el cumplimiento de la meta de recursos identificados para poder ser registrados en los estados financieros</t>
  </si>
  <si>
    <t>Sistema canon y financiera</t>
  </si>
  <si>
    <t xml:space="preserve">último dia del semestre </t>
  </si>
  <si>
    <t>% de recaudos de contraprestaciones económicas identificados de los recaudos de recursos propios de la vigencia</t>
  </si>
  <si>
    <t>% esperado de identificación y registro</t>
  </si>
  <si>
    <t>Mejorar  el cumpliminento de los requisitos legales y contractuales por parte de los títulares mineros</t>
  </si>
  <si>
    <t xml:space="preserve">Visitar el 95% de los títulos vigentes competencia de la ANM. </t>
  </si>
  <si>
    <t>4. % de Títulos con visitas de fiscalización</t>
  </si>
  <si>
    <t>Se quiere medir el avance en las visitas de fiscalización a los títulos mineros, teniendo como criterios la meta para la vigencia y los resultados parciales conforme a la programación definida. Los títulos vigentes a 31-12-2017 son 6.987. Sin embargo la cifra será actualizada trimestralmente para reflejar los cambios en terminos de anotaciones o desanotaciones del registro minero</t>
  </si>
  <si>
    <t xml:space="preserve">Herramienta de fiscalización </t>
  </si>
  <si>
    <t>Sumatoria del número de títulos visitados  y que estén debidamente notificados</t>
  </si>
  <si>
    <t xml:space="preserve">Gerente Seguimiento y Control  / Vicepresidencia de Seguimiento y Control </t>
  </si>
  <si>
    <t xml:space="preserve">Gerente de Seguimiento y Control / Vicepresidencia de Seguimiento, Control y Seguridad Minera </t>
  </si>
  <si>
    <t>Número de títulos (95%) programado en el periodo</t>
  </si>
  <si>
    <t xml:space="preserve">Priorizar títulos mineros con alto riesgo de accidentalidad 
Programar  2 visitas para los títulos priorizados
Realizar visitas conforme a lo programado 
</t>
  </si>
  <si>
    <t>5. Porcentaje de cumplimiento de la programación de inspecciones de campo</t>
  </si>
  <si>
    <t>El indicador aplica a la programación derivada del criterio de alto riesgo de accidentalidad por condiciones de inseguridad minera. 
El alcance corresponde a los siguientes halllzgos: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</si>
  <si>
    <t xml:space="preserve">Programación de visitas de fiscalización </t>
  </si>
  <si>
    <t>N.A.</t>
  </si>
  <si>
    <t xml:space="preserve">N° de títulos con inspecciones de campo realizadas conforme a la programación que da cumplimiento al criterio legal  </t>
  </si>
  <si>
    <t>N° títulos programados y priorizados conforme al criterio legal.</t>
  </si>
  <si>
    <t>Cumplir con la evaluación documental al 100% de los títulos mineros vigentes competencia de la ANM</t>
  </si>
  <si>
    <t xml:space="preserve">6. % de la evaluación  documental de los títulos mineros </t>
  </si>
  <si>
    <t xml:space="preserve">Informes de Gestión </t>
  </si>
  <si>
    <t>Sumatoria del número de títulos evaluados documentalmente con los respectivos actos administrativos (auto o resolución)  firmados y notificados</t>
  </si>
  <si>
    <t xml:space="preserve">Notificar oportunamente a los títulares mineros acerca de los resultados y decisiones de las visitas de fiscalización </t>
  </si>
  <si>
    <t>7. Porcentaje de notificaciones realizadas oportunamente</t>
  </si>
  <si>
    <t>Se quiere asegurar que los títulares mineros conozcan oportunamente los resultados y decisiones de la autoridad minera</t>
  </si>
  <si>
    <t>Herramienta de fiscalización y hoja de cálculo</t>
  </si>
  <si>
    <t>Número de  notificaciones de los informes de fiscalización  realizadas oportunamente y que debieron realizarse</t>
  </si>
  <si>
    <t xml:space="preserve">Número de notificaciones de los informes de fiscalización que debieron realizarse </t>
  </si>
  <si>
    <t xml:space="preserve">Adoptar medidas y/o decisiones administrativas eficaces una vez advertido el incumplimiento de las obligaciones del titular minero </t>
  </si>
  <si>
    <t xml:space="preserve">8. Porcentaje de adopción de decisiones de control </t>
  </si>
  <si>
    <t>El indicador aplica a las situaciones de incumplimiento de los títulos mineros clasificados como de alto riesgo por condiciones de inseguridad minera. 
El alcance corresponde a los siguientes halllzgos: 
SHM 11 Presencia de gases contaminantes en la atmosfera minera por fuera de los límites permisibles.
SHM 12 Incumplimiento de las disposiciones generales para minas grisutuosas.
SHM 12 Deficiencia de oxígeno en las labores mineras subterráneas.
SHM 13 Incumplimiento de las disposiciones generales para minas grisutuosas.
SHM 14 Incumplimiento en aspectos relacionados con sostenimiento en labores mineras.</t>
  </si>
  <si>
    <t>Archivo de Excel</t>
  </si>
  <si>
    <t>Ultimo día del Semestre  (Jun y Dic)</t>
  </si>
  <si>
    <t>Por definir conforme a línea base</t>
  </si>
  <si>
    <t xml:space="preserve">[Número de acciones de control (Caducidades o multas) interpuestas a los titulares mineros asociados a requerimientos efectuados en un periodo de tiempo (semestre) </t>
  </si>
  <si>
    <t xml:space="preserve"> Número de requerimientos efectuados en el periodo de tiempo (Semestre)</t>
  </si>
  <si>
    <t xml:space="preserve">Monitorear el porcentaje de no conformidades identificadas en la fiscalización y solucionadas de forma efectiva por parte de los titulares mineros  </t>
  </si>
  <si>
    <t xml:space="preserve">9. % de requerimientos solucionados </t>
  </si>
  <si>
    <t xml:space="preserve">Incluye no conformidades de 2017 que son evaluadas en 2018. La evaluación de las no conformidades se asegura mediante funcionalidad del aplicativo de fiscalización </t>
  </si>
  <si>
    <t>Aplicativo de fiscalización</t>
  </si>
  <si>
    <t>No conformidades de la vigencia anterior evaluadas en la vigencia actual y subsanadas por parte del titular minero</t>
  </si>
  <si>
    <t>No conformides subsanadas por parte del titular minero de las evaluadas</t>
  </si>
  <si>
    <t xml:space="preserve">Responder de forma oportuna a los diferentes trámites solicitados por los títulares mineros. </t>
  </si>
  <si>
    <t>10. Oportunidad en la atención de trámites que no afectan titularidad</t>
  </si>
  <si>
    <t>Alcance de los trámites:  
1. Modificación de etapas contractuales (1.1. Prórroga de las etapas de exploración, construcción y montaje, 1.2. Renuncia de las etapas o utilización de un tiempo menor), 2) Aumento del volumen de explotación en autorizaciones temporales, 3) Adición de minerales, 4) Suspensión de obligaciones, 5) Suspensión o disminución de producción, 6) Autorización de operaciones conjuntas, 7) Amparo administrativo, 8)  Renuncia a título , 9) Suspensión de actividades
Término:  90 días calendario.</t>
  </si>
  <si>
    <t>Solicitudes atendidas oportunamente y que debieron ser atendidas en el periodo</t>
  </si>
  <si>
    <t>Solicitudes que debieron ser atendidas en el periodo</t>
  </si>
  <si>
    <t xml:space="preserve">11. Atención de trámites de vigencias anteriores </t>
  </si>
  <si>
    <t>580 trámites de las vigencias anteriores</t>
  </si>
  <si>
    <t>No de solicitudes gestionadas en el periodo</t>
  </si>
  <si>
    <t>No de solicitudes programadas en el periodo</t>
  </si>
  <si>
    <t>Identificar los procedimientos del Área, mejorar, actualizar y ajustar según sea identificado</t>
  </si>
  <si>
    <t>12. % de cumplimiento de la revisión de los procedimientos del área</t>
  </si>
  <si>
    <t>Garantizar dentro del proceso de mejora continua, la revisión y ajuste de los procedimientos que se identifique requieran ajuste con base en los lineamientos de Ley y los lineamientos de la alta dirección
1. Seguimiento a Las Obligaciones del Título Minero
2. Tramites de La Vicepresidencia de Seguimiento, Control y Seguridad Minera 
3. Inspecciones de Campo</t>
  </si>
  <si>
    <t>Registro de actualización de procedimientos</t>
  </si>
  <si>
    <t xml:space="preserve">No. de Procedimientos actualizados </t>
  </si>
  <si>
    <t>No. de Procedimientos a actualizar</t>
  </si>
  <si>
    <t>Contribuir en el desarrollo sostenible del sector minero a través de las modificaciones a los títulos</t>
  </si>
  <si>
    <t xml:space="preserve">Gestionar las solicitudes de modificaciones que llegan dentro de los tiempos establecidos (VSCSM). </t>
  </si>
  <si>
    <t>13. Oportunidad en la gestión a trámites de modificación a títulos mineros (Trámites compartidos )</t>
  </si>
  <si>
    <t>Tiempo establecido: El plazo para la atención es de 4 meses, desde la fecha de radicación de la solicitud hasta  la fecha en que se entrega el trámite a la Vicepresidencia de Contratación y Titulación Minera (Incluye los casos en que se niega la solicitud y no se requeire la intervención de la Vicepresidencia de Contratación y Titulación Minera). Los  actos administrativos que resuelven la solicitud deben estar debidamente ejecutoriados. 
Periodo de Medición: Las solicitudes medidas en este indicador  son las recibidas a partir del 1 de enero de 2018.
Alcance de los tramites:  a) Acogimiento Artículo 349 de la Ley 685 de 2001, b) Cambio de Modalidad, c) Derecho de Preferencia, d)Devolución de Área, e) Prorroga A.T, f) Cesión de derechos</t>
  </si>
  <si>
    <t xml:space="preserve">Por identificar </t>
  </si>
  <si>
    <t>Solicitudes atendidas oportunamente durante el periodo (Trámites compartidos)</t>
  </si>
  <si>
    <t>Solicitudes que recibidas en el periodo (Trámites compartidos)</t>
  </si>
  <si>
    <t>Gestionar las solicitudes de modificaciones que llegan dentro de los tiempos establecidos. (VCT)</t>
  </si>
  <si>
    <t xml:space="preserve">% Oportunidad en la gestión de trámites de modificación a títulos mineros.  </t>
  </si>
  <si>
    <r>
      <rPr>
        <b/>
        <sz val="9"/>
        <color theme="1"/>
        <rFont val="Calibri"/>
        <family val="2"/>
        <scheme val="minor"/>
      </rPr>
      <t>Tiempo establecido:</t>
    </r>
    <r>
      <rPr>
        <sz val="9"/>
        <color theme="1"/>
        <rFont val="Calibri"/>
        <family val="2"/>
        <scheme val="minor"/>
      </rPr>
      <t xml:space="preserve"> El tiempo pactado es </t>
    </r>
    <r>
      <rPr>
        <u/>
        <sz val="9"/>
        <color theme="1"/>
        <rFont val="Calibri"/>
        <family val="2"/>
        <scheme val="minor"/>
      </rPr>
      <t>120 días promedio</t>
    </r>
    <r>
      <rPr>
        <sz val="9"/>
        <color theme="1"/>
        <rFont val="Calibri"/>
        <family val="2"/>
        <scheme val="minor"/>
      </rPr>
      <t xml:space="preserve">. 
</t>
    </r>
    <r>
      <rPr>
        <b/>
        <sz val="9"/>
        <color theme="1"/>
        <rFont val="Calibri"/>
        <family val="2"/>
        <scheme val="minor"/>
      </rPr>
      <t>Detalle de actividades:</t>
    </r>
    <r>
      <rPr>
        <sz val="9"/>
        <color theme="1"/>
        <rFont val="Calibri"/>
        <family val="2"/>
        <scheme val="minor"/>
      </rPr>
      <t xml:space="preserve">
En este tiempo se encuentran de manera general las siguientes actividades, razón por la cual los tiempos pueden variar: radicación de la solicitud de la solicitud en la ANM, una vez llega al GEMTM, se hace el reparto de solicitud al profesional del área, revisión de la solicitud por tres profesionales (revisión jurídica, técnica y económica), proyección de conceptos y de acto administrativo, revisión del acto administrativo proyectado, firma del acto administrativo por parte del competente, (puede ser un acto administrativo de trámite o que define la situación jurídica de la solicitud). 
Una vez firmado el acto administrativo, pasa al Grupo de Información y Atención al Minero para su notificación, (espera de cumplimiento de términos en caso de ser requerimiento, términos de ejecutoria en caso de ser acto administrativo que define situación jurídica). 
Es necesario tener en cuenta que de acuerdo con el artículo 86 del CPACA para los recursos de reposición la administración tendrá un plazo para resolver de dos (2) meses.
El trámite de cesión de áreas puede requerir intervención de la Vicepresidencia de Seguimiento, Control y Seguridad Minera.
Se aclara que los tiempos establecidos en este punto, deben tomarse para aquellos casos en los cuales no hay problemas jurídicos diferentes a la solicitud que se desarrolla. Es importante tener en cuenta que cada caso es particular y concreto y las evaluaciones del GEMTM deben reflejar el estudio completo del expediente.  En esa medida, se deben solucionar todos los problemas jurídicos competencia del Grupo, razón por la cual estos tiempos pueden variar. 
</t>
    </r>
    <r>
      <rPr>
        <b/>
        <sz val="9"/>
        <color theme="1"/>
        <rFont val="Calibri"/>
        <family val="2"/>
        <scheme val="minor"/>
      </rPr>
      <t>Periodo de Medición</t>
    </r>
    <r>
      <rPr>
        <sz val="9"/>
        <color theme="1"/>
        <rFont val="Calibri"/>
        <family val="2"/>
        <scheme val="minor"/>
      </rPr>
      <t>: Las solicitudes medidas en este indicador  son las recibidas a partir de</t>
    </r>
    <r>
      <rPr>
        <u/>
        <sz val="9"/>
        <color theme="1"/>
        <rFont val="Calibri"/>
        <family val="2"/>
        <scheme val="minor"/>
      </rPr>
      <t xml:space="preserve"> 1 de enero del 2018.</t>
    </r>
    <r>
      <rPr>
        <sz val="9"/>
        <color theme="1"/>
        <rFont val="Calibri"/>
        <family val="2"/>
        <scheme val="minor"/>
      </rPr>
      <t xml:space="preserve">
</t>
    </r>
    <r>
      <rPr>
        <b/>
        <sz val="9"/>
        <color theme="1"/>
        <rFont val="Calibri"/>
        <family val="2"/>
        <scheme val="minor"/>
      </rPr>
      <t>Alcance de los trámites:</t>
    </r>
    <r>
      <rPr>
        <sz val="9"/>
        <color theme="1"/>
        <rFont val="Calibri"/>
        <family val="2"/>
        <scheme val="minor"/>
      </rPr>
      <t xml:space="preserve"> </t>
    </r>
    <r>
      <rPr>
        <b/>
        <sz val="9"/>
        <color theme="1"/>
        <rFont val="Calibri"/>
        <family val="2"/>
        <scheme val="minor"/>
      </rPr>
      <t xml:space="preserve">cesión de área </t>
    </r>
    <r>
      <rPr>
        <sz val="9"/>
        <color theme="1"/>
        <rFont val="Calibri"/>
        <family val="2"/>
        <scheme val="minor"/>
      </rPr>
      <t xml:space="preserve">hasta aprobación, rechazo o desistimiento por acto administrativo que define situación jurídica de la solicitud.
Inicia con la fecha de radicación de la solicitud y finaliza con el acto administrativo que define la situación jurídica de la misma.
</t>
    </r>
    <r>
      <rPr>
        <b/>
        <sz val="9"/>
        <color theme="1"/>
        <rFont val="Calibri"/>
        <family val="2"/>
        <scheme val="minor"/>
      </rPr>
      <t>Alcance formula:</t>
    </r>
    <r>
      <rPr>
        <sz val="9"/>
        <color theme="1"/>
        <rFont val="Calibri"/>
        <family val="2"/>
        <scheme val="minor"/>
      </rPr>
      <t xml:space="preserve">
</t>
    </r>
    <r>
      <rPr>
        <b/>
        <sz val="9"/>
        <color theme="1"/>
        <rFont val="Calibri"/>
        <family val="2"/>
        <scheme val="minor"/>
      </rPr>
      <t>Denominador:</t>
    </r>
    <r>
      <rPr>
        <sz val="9"/>
        <color theme="1"/>
        <rFont val="Calibri"/>
        <family val="2"/>
        <scheme val="minor"/>
      </rPr>
      <t xml:space="preserve"> Total de Solicitudes programadas para tramitar en el  trimestre, (hace referencia a las solicitudes que dentro del trimestre tienen vencimiento de términos). 
</t>
    </r>
    <r>
      <rPr>
        <b/>
        <sz val="9"/>
        <color theme="1"/>
        <rFont val="Calibri"/>
        <family val="2"/>
        <scheme val="minor"/>
      </rPr>
      <t>Numerador:</t>
    </r>
    <r>
      <rPr>
        <sz val="9"/>
        <color theme="1"/>
        <rFont val="Calibri"/>
        <family val="2"/>
        <scheme val="minor"/>
      </rPr>
      <t xml:space="preserve"> # de solicitudes gestionadas a tiempo (hace referencia a las que tienen vencimiento  en el periodo).
</t>
    </r>
  </si>
  <si>
    <t>Solicitudes atendidas oportunamente durante el periodo</t>
  </si>
  <si>
    <t xml:space="preserve">Vicepresidente de Contratación y Titulación </t>
  </si>
  <si>
    <t>Solicitudes que recibidas en el periodo</t>
  </si>
  <si>
    <t>Resolver 1760 solicitudes de modificación de títulos mineros del total 2618</t>
  </si>
  <si>
    <t xml:space="preserve">% Atención de trámites de vigencias anteriores </t>
  </si>
  <si>
    <r>
      <t>Realizar reparto de solicitudes de tramites, como cesiones, subrogaciones, renuncias parciales, entre otras. Realización de estudios técnicos. Realización de actos administrativos que den respuesta efectiva a las solicitudes realizadas por los titulares. Dar respuestas a los recursos interpuestos a los diferentes actos administrativos,
El 31 de diciembre de 2017 se tenian 3050 tramites por resolver, de los cuales en el 2018 se resolvera el 58%</t>
    </r>
    <r>
      <rPr>
        <b/>
        <sz val="9"/>
        <color theme="1"/>
        <rFont val="Calibri"/>
        <family val="2"/>
        <scheme val="minor"/>
      </rPr>
      <t xml:space="preserve"> </t>
    </r>
    <r>
      <rPr>
        <sz val="9"/>
        <color theme="1"/>
        <rFont val="Calibri"/>
        <family val="2"/>
        <scheme val="minor"/>
      </rPr>
      <t xml:space="preserve">
Este indicador hace referencia a las cifras reportadas ante el consejo directivo, que tiene como objetivo disminuir en un</t>
    </r>
    <r>
      <rPr>
        <b/>
        <sz val="9"/>
        <color theme="1"/>
        <rFont val="Calibri"/>
        <family val="2"/>
        <scheme val="minor"/>
      </rPr>
      <t xml:space="preserve"> 30% el Stock, es decir 785 trámites.</t>
    </r>
  </si>
  <si>
    <t>Estructurar e implementar el sistema integral de gestión minera</t>
  </si>
  <si>
    <t xml:space="preserve">Implementar el Sistema Integral de Gestión Minera de la Agencia Nacional de Minería </t>
  </si>
  <si>
    <t>Las acciones están definidas en el cronograma</t>
  </si>
  <si>
    <t>16. % de cumplimiento del cronograma de actividades en 2018</t>
  </si>
  <si>
    <t xml:space="preserve">Aplica al 100% de las actividades programadas para el 2018
Procesos misionales de la Agencia Nacional de Minería y las interfases necesarias </t>
  </si>
  <si>
    <t xml:space="preserve">Cronograma de actividades </t>
  </si>
  <si>
    <t>Número de actividades programadas y realizadas</t>
  </si>
  <si>
    <t xml:space="preserve">Líder Proyecto Gestión Minera Digital / Vicepresidente de Seguimiento, Control y Control </t>
  </si>
  <si>
    <t>Número de actividades programadas</t>
  </si>
  <si>
    <t>Desarrollar  acciones  que permitan implementar y fortalecer el tema de seguridad  y salvamento en  las actividades  mineras.</t>
  </si>
  <si>
    <t xml:space="preserve">Realizar 140  visitas de seguridad e higiene minera </t>
  </si>
  <si>
    <t>%  visitas de seguridad e higiene minera  realizadas a ARES y solicitudes de legalización</t>
  </si>
  <si>
    <t>Visitas de de seguridad e higiene minera a las Areas de reserva especial y solicitudes de legalización</t>
  </si>
  <si>
    <t xml:space="preserve">Informe de gestión del Grupo de seguridad y salvamento minero </t>
  </si>
  <si>
    <t>Visitas de seguriddad e higiene realizadas</t>
  </si>
  <si>
    <t>Vicepresidencia de Seguimiento y Control
Gerente Seguridad y Salvamento Minero</t>
  </si>
  <si>
    <t>Vicepresidencia de Seguimiento, Control y Seguridad Minera 
Gerente de Seguridad y Salvamento Minero</t>
  </si>
  <si>
    <t>Visitas de seguridad e higiene programadas</t>
  </si>
  <si>
    <t xml:space="preserve">Capacitar a  1200  personas en salvamento minero </t>
  </si>
  <si>
    <t>%  de personal capacitado en salvamento minero</t>
  </si>
  <si>
    <t>Las capacitaciones en el tema de salvamento minero se realizan a la población minera y lo que se desea medir es a cuantas personas se logra llegar con las diferentes instrucciones que tiene la ANM en este tema.</t>
  </si>
  <si>
    <t xml:space="preserve">N° de personas capacitadas en salvamento minero/N° de personas programadas para ser capacitadas en salvamento minero </t>
  </si>
  <si>
    <t>N° de personas capacitadas en salvamento minero</t>
  </si>
  <si>
    <t xml:space="preserve">N° de personas programadas para ser capacitadas en salvamento minero </t>
  </si>
  <si>
    <t>Realizar 60 Jornadas  de capacitación  en seguridad minera</t>
  </si>
  <si>
    <t>%  de jornadas realizadas en seguridad minera</t>
  </si>
  <si>
    <t xml:space="preserve">Jornadas de capacitación en temas de seguridad minera  </t>
  </si>
  <si>
    <t>Jornadas ejecutadas</t>
  </si>
  <si>
    <t>jornadas programadas</t>
  </si>
  <si>
    <t xml:space="preserve">Realizar el III Encuentro Nacional de Socorredores </t>
  </si>
  <si>
    <t xml:space="preserve">% del encuentro nacional minero </t>
  </si>
  <si>
    <t>Realizar el III Encuentro Nacional de Socorredores Mineros</t>
  </si>
  <si>
    <t xml:space="preserve">Encuentro Nacional Minero ejecutado </t>
  </si>
  <si>
    <t xml:space="preserve">Encuentro Nacional Minero programado </t>
  </si>
  <si>
    <t>Ejecutar el plan de preparación de la IX conferencia de Rescate Minero IMRB 2019
1. Planeamiento y diseño del componente academico, técnico , cultural y logistico dela IX conferencia IMRB de 2019 - 10%
2. Gestión administrativa  y financiera de la IX conferencia IMRB de 2019  - 10%
3. Promoción , divulgación y alistamiento de la IX conferencia IMRB de 2019  - 10%</t>
  </si>
  <si>
    <t>% de Ejecución del plan de preparacion de la IX Conferencia de Rescate Minero IMRB 2019</t>
  </si>
  <si>
    <t>Planeamiento y diseño del componente academico, técnico , cultural y logistico dela IX conferencia IMRB de 2019</t>
  </si>
  <si>
    <t>Actividades ejecutadas</t>
  </si>
  <si>
    <t>Actividades programadas</t>
  </si>
  <si>
    <t xml:space="preserve">Verificar en las visitas de seguridad e higiene minera que se haya subsanado el 50% de los hallazgos encontrados en la visita anterior </t>
  </si>
  <si>
    <t>% de mejoras realizadas</t>
  </si>
  <si>
    <t>El titular minero debe realizar como minimo el 50% de las mejoras solicitadas en la visita anterior(hallazgos)</t>
  </si>
  <si>
    <t xml:space="preserve">Porcentaje de mejoras realizadas/porcentaje de mejoras solicitadas en la visita anterior </t>
  </si>
  <si>
    <t>Porcentaje de mejoras realizadas</t>
  </si>
  <si>
    <t>Porcentaje de mejoras programadas</t>
  </si>
  <si>
    <t>Capacitar a 100 empresas en salvamento minero</t>
  </si>
  <si>
    <t>% de empresas capacitadas en salvamento minero</t>
  </si>
  <si>
    <t>El titular minero debe conformar por ley las brigadas de emergencia con este indicador se le va a facilitar su tarea porque desde la ANM se va a incentivar dicha actividad</t>
  </si>
  <si>
    <t xml:space="preserve">%porcentaje de empresas mineras capacitadas en salvamento minero / % de empresas mineras programadas para capacitación en salvamento minero </t>
  </si>
  <si>
    <t xml:space="preserve">Porcentaje de empresas mineras capacitadas en salvamento minero  </t>
  </si>
  <si>
    <t>Vicepresidencia de Seguimiento y Control/
Vicepresidencia Administrativa y Financiera
Grupo de Contratación Institucional</t>
  </si>
  <si>
    <t xml:space="preserve">Porcentaje de empresas mineras  programadas para capacitación en salvamento minero </t>
  </si>
  <si>
    <t>% de cumplimiento de la revisión del procedimiento del área</t>
  </si>
  <si>
    <t>Mejorar, actualizar y ajustar  un  procedimiento del Área</t>
  </si>
  <si>
    <t>Actividades ejecutadas / Actividades programadas</t>
  </si>
  <si>
    <t>Porcentaje de avance de la mejora, actualización y ajuste del procedimiento  logrado</t>
  </si>
  <si>
    <t>Porcentaje de  avance de la mejor, actualización y ajuste del procedimiento programada</t>
  </si>
  <si>
    <t>Ejecutar el presupuesto de inversión</t>
  </si>
  <si>
    <t>% de ejecución de presupuesto de inversión</t>
  </si>
  <si>
    <t>Realizar la ejecución del presupuesto de inversión</t>
  </si>
  <si>
    <t>Porcentaje de jecución del presupuesto de inversión</t>
  </si>
  <si>
    <t>Contribuir al desarrollo integral y sostenible del sector y del país promoviendo el incremento de los estándares sociales y ambientales</t>
  </si>
  <si>
    <t>Fortalecer el manejo de residuos peligrosos</t>
  </si>
  <si>
    <t>Caracterizar y cuantificar los residuos peligrosos de los centros de trabajo de la ANM</t>
  </si>
  <si>
    <t>% de centros  de trabajo  con cuantificación de residuos peligrosos</t>
  </si>
  <si>
    <t>Aplica cuantificación a atodos los centros de trabajo aplicables</t>
  </si>
  <si>
    <t>Formato de Declaración de Residuos</t>
  </si>
  <si>
    <t>Anual</t>
  </si>
  <si>
    <t xml:space="preserve">SM 
VAF 
TICS </t>
  </si>
  <si>
    <t>Centros de trabajo cuantificados</t>
  </si>
  <si>
    <t>Vicepresidencia Administrativa y Financiera</t>
  </si>
  <si>
    <t>Seguridad Minera
Servicios Administrativos
Tecnologia e información</t>
  </si>
  <si>
    <t>Centros de trabajo Programados</t>
  </si>
  <si>
    <t>Recoger, tratar y disponer los residuos peligrosos de los centros de trabajo de la ANM</t>
  </si>
  <si>
    <t>% Disposición final de Residuos Peligrosos</t>
  </si>
  <si>
    <t xml:space="preserve">Aplica desde la cuantificación hasta la generación del certificado de disposición final </t>
  </si>
  <si>
    <t xml:space="preserve">Certificado de disposición final </t>
  </si>
  <si>
    <t>Residuos Peligrosos con disposición final (kG)</t>
  </si>
  <si>
    <t>Residuos Generados cuantificados para disposición  (kG)</t>
  </si>
  <si>
    <t>Contribuir en el desarrollo sostenible del sector minero a través de la actualización del Catastro Minero Colombiano</t>
  </si>
  <si>
    <t>Inscribir y/o desanotar el 90% de los actos administrativos recibidos en el Grupo de Catastro y Registro Minero, actos relacionados con propuestas de contrato, Autorizaciones Temporales y/o solicitudes de legalización minera</t>
  </si>
  <si>
    <t>Cantidad de actos inscritos y/o desanotados con información consistente en el CMC</t>
  </si>
  <si>
    <t>Se procederá con la revisión de los actos administrativos que lleguen a la Gerencia de Catastro y Registro Minero y se inscribiran aquellos que tengan la información consistente, los otros se devolveran para su debido trámite</t>
  </si>
  <si>
    <t>No. de actos inscritos y/o desanotados con
información consistente en el
CMC</t>
  </si>
  <si>
    <t xml:space="preserve">
Gerente de Catastro y Registro Minero</t>
  </si>
  <si>
    <t>Vicepresidencia de Contratación y Titulación
Gerente de Catastro y Registro Minero, Grupo de Contratación y Titulación, Grupo de Evaluación de Modificaciones a Títulos Mineros, Grupo de Legalización Minera</t>
  </si>
  <si>
    <t xml:space="preserve">No. de actos sujetos a registro
en el periodo </t>
  </si>
  <si>
    <t>Anotar el 90% de los Actos Administrativos recibos en el Grupo de Catastro y Registro Minero, actos relacionados con modificaciones a títulos mineros</t>
  </si>
  <si>
    <t>Cantidad de actos anotados con
información consistente en el
Catastro Minero Colombiano
(CMC)</t>
  </si>
  <si>
    <t>Se procedera con la revisión de los actos administrativos que lleguen a la Gerencia de Catastro y Registro Minero y se inscribiran aquellos que tengan la información consistente, los otros se devolveran para su debido trámite</t>
  </si>
  <si>
    <t>No. de actos anotados con información consistente en el CMC</t>
  </si>
  <si>
    <t>No. de actos sujetos a registro en el periodo</t>
  </si>
  <si>
    <t>Revisar e inscribir y/o desanotar dentro de los 15 días siguientes al recibo en el Grupo de Catastro y Registro Minero Nacional el 70% de los Actos Administrativos</t>
  </si>
  <si>
    <t>% de los actos inscritos dentro de los 15 días siguientes al recibo</t>
  </si>
  <si>
    <t>Se tendrán en cuenta todos los  actos administrativos lleguen al Grupo de Catastro y Registro Minero.
Se aclara que el 30% restante no se inscribe en los 15 días siguientes al recibo por limitaciones en la capacidad operativa del grupo.</t>
  </si>
  <si>
    <t>No. de actos inscritos y/o desanotados dentro de los 15 dias siguientes al recibo</t>
  </si>
  <si>
    <t>No. de actos inscritos y/o desanotados que fueron recibidos por el Grupo de Catastro sin inconsistencias</t>
  </si>
  <si>
    <t>&lt;</t>
  </si>
  <si>
    <t>Realizar visitas de atención a 27 inversionistas mineros instalados en el país</t>
  </si>
  <si>
    <t>% de inversionistas mineros instalados en el país visitados</t>
  </si>
  <si>
    <t>Las visitas pueden ser de seguimiento a inversionistas visitados en 2017 y/o a nuevos inversionistas.</t>
  </si>
  <si>
    <t># de inversionistas mineros instalados en el país visitados/# de inversionistas mineros instalados en el país  programados para visitar</t>
  </si>
  <si>
    <t>Base de Datos de Registro de consultas del Grupo de Promoción</t>
  </si>
  <si>
    <t># de inversionistas mineros instalados en el país visitados</t>
  </si>
  <si>
    <t># de inversionistas mineros instalados en el país  programados para visitar</t>
  </si>
  <si>
    <t>Gestionar 1 alianza integral con empresa minera instalada en el país</t>
  </si>
  <si>
    <t>% de empresas mineras instaladas en el país con propuestas de alianzas integrales</t>
  </si>
  <si>
    <t xml:space="preserve">Esta acción se ejecuta en forma conjunta con el DPS, con el fin de apoyar a las empresas mineras en la orientación de sus planes de responsabilidad social para contribuir a la minimización de los índices de pobreza extrema existentes en sus territorios de influencia, mejorando así su relacionamiento con las comunidades presentes en los mismos.   </t>
  </si>
  <si>
    <t>Empresas mineras instaladas en el país con propuestas de alianzas integrales/Empresas mineras instaladas en el país priorizadas para gestionar alianzas integrales</t>
  </si>
  <si>
    <t>Empresas mineras instaladas en el país con propuestas de alianzas integrales</t>
  </si>
  <si>
    <t>Empresas mineras instaladas en el país priorizadas para gestionar alianzas integrales</t>
  </si>
  <si>
    <t>Establecer las actividades necesarias para realizar las notificaciones de los Actos administrativos expedidos en las áreas misionales de la Agencia Nacional de Minería.</t>
  </si>
  <si>
    <t>Notificar el 100% de los actos administrativos de la entidad</t>
  </si>
  <si>
    <t>% Oportunidad en la notificación de los actos administrativos (5 días) de su recepcion en el Grupo</t>
  </si>
  <si>
    <t>Dentro de este indicador se registrará: 1.- Nº de Autos notificados oportunamente dentro de los 5 días siguientes a su recepción en el Grupo . 2.- Nº de Resoluciones notificadas oportunamente dentro de los 5 días siguientes a su recepción en el Grupo. 3.- Notificaciones por aviso realizadas a los 5 días siguientes al envío de la notificación personal según disposición de ley.</t>
  </si>
  <si>
    <t>Carpeta compartida de Atencion al Minero Y:\CONSECUTIVOS ANM\2018</t>
  </si>
  <si>
    <t>No. de notificaciones publicadas oportunamente</t>
  </si>
  <si>
    <t>Vicepresidencia de Contratación y Titulación
Grupo de Atención al Minero</t>
  </si>
  <si>
    <t>No. de actos administrativos por notificar</t>
  </si>
  <si>
    <t>Establecer los lineamientos para la atención al usuario minero, de acuerdo con las directrices impartidas en las diferentes Vicepresidencias de la Agencia Nacional de Minería.</t>
  </si>
  <si>
    <t>Atender oportunamente el 100% de los requerimientos de productos y servicios</t>
  </si>
  <si>
    <t>% de  requerimientos de productos y servicios atendidos oportunamente</t>
  </si>
  <si>
    <t>Dentro de este Indicador se registrara: 1.- Solicitudes de copias realizadas dentro de los 10 días hábiles siguientes a su radicación. 2.- Certificados de Estado de Tramite realizados dentro de los 10 días hábiles siguientes a su radicación. 3.- Derechos de petición con su correspondiente respuesta dentro de los 10 días hábiles siguientes a su radicación. 4.- Realizar la debida publicación de correspondencia devuelta dentro de los 10 días hábiles siguientes a su recibo</t>
  </si>
  <si>
    <t>No. solicitudes atendidas oportunamente</t>
  </si>
  <si>
    <t>Total de solicitudes recibidas</t>
  </si>
  <si>
    <t>Cumplir estándares óptimos de satisfacción con los servicios ofrecidos a los usuarios</t>
  </si>
  <si>
    <t>Evaluar lala satisfacción con los servicios de la ANM y percepción de  los usuarios frente a la entidad. La encuesta permitirá establecer una línea base, en el primer año de medición y el avance acumulado al final del cuatrienio, por lo que se requiere formular acciones de mejoramiento anual.</t>
  </si>
  <si>
    <t>Aplicar la encuesta de medición de satisfacción  de  los usuarios frente a la ANM y la percepción.</t>
  </si>
  <si>
    <t>%  de cumplimiento en la aplicación de la encuesta</t>
  </si>
  <si>
    <t>Aplicar la encuesta de satisfacción con los servicios de la ANM y percepción, de manera digital, presencial y telefónica a ciudadanos en las 11 ciudades donde hay Punto de Atención ANM</t>
  </si>
  <si>
    <t>% de cumplimiento en la ejecución de la encuesta / Encuesta programada</t>
  </si>
  <si>
    <t>Encuesta ejecutada</t>
  </si>
  <si>
    <t>Oficina de Atención al Minero/ PAR / Grupo de Participación Ciudadana y Comunicaciones/</t>
  </si>
  <si>
    <t xml:space="preserve">Encuesta programada (que sea elaborada y aplicada) </t>
  </si>
  <si>
    <t>Evaluar la satisfacción de  los usuarios frente a los servicios de la ANM.</t>
  </si>
  <si>
    <t>%  satisfacción  de  los usuarios frente a los servicios de la ANM</t>
  </si>
  <si>
    <t>Evaluar la satisfaccion de los grupos de interés de la ANM frente a los servicios ofrecidos por al Agencia</t>
  </si>
  <si>
    <t>% Satisfacción de los usuarios / % Satisfacción esperada</t>
  </si>
  <si>
    <t>PARCIAL DURANTE CADA PERIODO</t>
  </si>
  <si>
    <t>% Percepción de los usuarios frente a los servicios</t>
  </si>
  <si>
    <t>Grupo de Participación Ciudadana Comunicaciones</t>
  </si>
  <si>
    <t>Todos los responsables de proceso</t>
  </si>
  <si>
    <t>Usuarios y demás grupos de interés encuestados</t>
  </si>
  <si>
    <t xml:space="preserve">% Percepción esperada </t>
  </si>
  <si>
    <t>Fortalecer el poceso de atención oportuna de las peticiones, quejas y reclamos.</t>
  </si>
  <si>
    <t>Fortalecer las acciones de seguimiento para la atención oportuna de P.Q.R.S.</t>
  </si>
  <si>
    <t>% Peticiones, Quejas y Reclamos atendidas oportunamente</t>
  </si>
  <si>
    <t>Analizar la estadística de PQRS durante la vigencia y hacer seguimientos a que las áreas respondan dentro de los terminos de ley</t>
  </si>
  <si>
    <t># PQR atendidas oportunamente / # PQR recibidas</t>
  </si>
  <si>
    <t>Reporte Sistema Gestión Documental</t>
  </si>
  <si>
    <t>Marzo 31 
Junio 30
Septiembre 30
Diciembre 31</t>
  </si>
  <si>
    <t>No. de  Peticiones, Quejas y Reclamos atendidas oportunamente</t>
  </si>
  <si>
    <t>Coordinador de Grupo de Participación Ciudadana Comunicaciones</t>
  </si>
  <si>
    <t>Todas las áreas responsables del proceso</t>
  </si>
  <si>
    <t>No. de Peticiones, Quejas y Reclamos recibidas</t>
  </si>
  <si>
    <t xml:space="preserve">Fortalecimiento de Gestión Contractual  Institucional </t>
  </si>
  <si>
    <t>Publicar los pre pliegos oportunamente dentro del término establecido (5 días hábiles)</t>
  </si>
  <si>
    <t>% de cumplimiento de Publicación de prepliegos en la oportunidad debida.</t>
  </si>
  <si>
    <t>Verificar el grado de cumplimiento de publicación de prepliegos  dentro del tiempo establecido (5 días hábiles) a partir  de la radicación de los estudios previos (con el lleno de requisitos)  hasta la publicación del prepliego.</t>
  </si>
  <si>
    <t>matriz de seguimiento PAA</t>
  </si>
  <si>
    <t>Cinco dias habiles antes de terminación  del Trimestre (Mar, Jun, Sep y Dic)</t>
  </si>
  <si>
    <t xml:space="preserve">No. de prepliegos publicados oportunamente </t>
  </si>
  <si>
    <t>Vicepresidencia Administrativa y Financiera
Coordinador de Grupo de Contratación</t>
  </si>
  <si>
    <t>No. total de estudios previos radicados con el lleno de los requisitos</t>
  </si>
  <si>
    <t>Publicar los pre pliegos en menos tiempo del  definido por la VAF-CCI (3 días hábiles)</t>
  </si>
  <si>
    <t>% de cumplimiento de Publicación de prepliegos en menor tiempo al establecido.</t>
  </si>
  <si>
    <t>No de prepliegos publicados oportunamente/No. Total de estudios previos radicados con el lleno de los requisitos</t>
  </si>
  <si>
    <t>No. de prepliegos publicados en menor tiempo</t>
  </si>
  <si>
    <t xml:space="preserve">No. total de estudios previos radicados con el lleno de los requisitos </t>
  </si>
  <si>
    <t xml:space="preserve">Gestionar la liquidación de los contratos de manera oportuna dando cumplimiento a  la  normatividad vigente </t>
  </si>
  <si>
    <t>%  de actas de liquidación (bilateral) suscritas y publicadas oportunamente</t>
  </si>
  <si>
    <t xml:space="preserve">Actas de liquidación (bilateral) formalizadas dentro los plazos establecidos (30 días calendario) a partir de la radicación de la solicitud de liquidación junto con el informe final hasta el perfeccionamiento del acta de liquidación.
</t>
  </si>
  <si>
    <t>Matriz de radicación de solicitudes de liquidación</t>
  </si>
  <si>
    <t>Primer trimestre (diciembre, enero y febrero), segundo trimestre (marzo, abril y mayo), tercer trimestre (junio, julio y agosto), cuarto  Trimestre (septiembre, octubre y noviembre).</t>
  </si>
  <si>
    <t>N° de actas de liquidación (bilateral) suscritas y publicadas oportunamente</t>
  </si>
  <si>
    <t>N° de informes finales de supervisión, con proyecto de acta de liquidación radicados con el lleno de los requisitos</t>
  </si>
  <si>
    <t>Adelantar charlas de reinducción en Contratación Pública con destino a supervisores y estructuradores de procesos de selección</t>
  </si>
  <si>
    <t>% de Jornadas de sensibilización en contratación</t>
  </si>
  <si>
    <t>Realización de charlas  en los plazos establecidos 
1. Trimestre II - Supervisión de contratos.
2. Trimestre IV - Estructuración de plan anual de adquisiciones</t>
  </si>
  <si>
    <t>Actas de Asistencia a Jornadas de Capacitación</t>
  </si>
  <si>
    <t>Ultimo día del Trimestre (Jun y Dic)</t>
  </si>
  <si>
    <t>Total de Charlas Realizadas</t>
  </si>
  <si>
    <t>N° de Charlas Programadas</t>
  </si>
  <si>
    <t>Atender oportunamente solicitudes cliente interno y externos en término no superior a 8 dias hábiles</t>
  </si>
  <si>
    <t>% Respuesta a requerimientos de información dentr del término propuesto (8 días hábiles)</t>
  </si>
  <si>
    <t>Respuesta oportuna a las solicitudes de información radicadas en la dependencia
relacionadas con derechos de petición, certificaciones e información general</t>
  </si>
  <si>
    <t>Matriz de radicación de peticiones, certificaciones e información general</t>
  </si>
  <si>
    <t>Total solicitudes internas y externas atendidas en menor tiempo</t>
  </si>
  <si>
    <t>Total de solicitudes internas y externas recibidas</t>
  </si>
  <si>
    <t>Seguimiento al cumplimiento de Contratos suscritos dentro de los cinco (5) días siguientes a su radicación, respecto del total de solicitudes de contratación directa radicadas</t>
  </si>
  <si>
    <t>% de Contratos suscritos del total radicados</t>
  </si>
  <si>
    <t>Identificar el porcentaje  de contratos suscritos dentro del término establecido en el respectivo trimestre,  frente al número de solicitudes de contratación directa que cumplieron con los requisitos legales dentro del periodo reportado</t>
  </si>
  <si>
    <t>No. de Contratos suscritos</t>
  </si>
  <si>
    <t>No. de solicitudes de contratación directa radicadas con el lleno de requisitos</t>
  </si>
  <si>
    <t xml:space="preserve">VALOR </t>
  </si>
  <si>
    <t>% de cumplimiento de la revisión de los procedimientos del área</t>
  </si>
  <si>
    <t>Garantizar dentro del proceso de mejora continua, la revisión, ajuste y publicación de los procedimientos que se identifique requieran actualización con base en los lineamientos de Ley y los lineamientos de la alta dirección.
ADQUISICION DE BIENES Y SERVICIOS (1. PRECONTRACTUAL )</t>
  </si>
  <si>
    <t>No. de Procedimientos actualizados y publicado  / No. de Procedimientos vigentes del proceso Adquisiones de Bienes y Servicios.</t>
  </si>
  <si>
    <t xml:space="preserve">ISOLUCIÓN </t>
  </si>
  <si>
    <t xml:space="preserve">Quince dias habiles antes de terminsación del 1° semestre y 2° semestre ( junio, diciembre </t>
  </si>
  <si>
    <t>No. de Procedimientos revisados </t>
  </si>
  <si>
    <t xml:space="preserve">% de presupuesto ejecutado (obligado) conforme a lo programado en el SIIF y el Plan Anual de adquisiciones </t>
  </si>
  <si>
    <r>
      <t xml:space="preserve">Garantizar la ejecución del presupusto de la entidad según lo acordado en la mensualización del Plan de Adquisicones </t>
    </r>
    <r>
      <rPr>
        <b/>
        <sz val="9"/>
        <color indexed="8"/>
        <rFont val="Calibri"/>
        <family val="2"/>
      </rPr>
      <t xml:space="preserve"> </t>
    </r>
  </si>
  <si>
    <t xml:space="preserve">Ejecución presupuestal de inversión y Funcionamiento  (SIIF) / % de Programación presupuestal de Inversión y Funcionamiento (Plan Anual de Adquisiciones) </t>
  </si>
  <si>
    <t>INFORMACIÓN PAC</t>
  </si>
  <si>
    <t xml:space="preserve"> Ejecución presupuestal de inversión y Funcionamiento  (SIIF)</t>
  </si>
  <si>
    <t xml:space="preserve">Programación presupuestal de Inversión y Funcionamiento (Plan Anual de Adquisiciones) </t>
  </si>
  <si>
    <t xml:space="preserve">Fortalecer la Gestión administrativa de la ANM </t>
  </si>
  <si>
    <t>Realizar la verificación física de bodegas a cargo del Almacenista</t>
  </si>
  <si>
    <t>%  veracidad de la información de bienes en bodegas</t>
  </si>
  <si>
    <t>Con el fin de garantizar un adecuado seguimiento y custodia de los bienes registrados en bodega, se proyecta realizar verificación física de las mismas y cruce con las existencias registradas en cada bodega en el sistema de Información de Inventarios - Web Safi. Con esta medida se pretende mitigar el riesgo de perdida, daño, deterioro o hurto de los bienes registrados en el almacén, y tomar medidas tempranas frente a posibles riesgos respecto al control de los bienes a cargo del Almacenista.</t>
  </si>
  <si>
    <t>Informe de verificación física de las bodegas</t>
  </si>
  <si>
    <t>No. Elementos con coincidencia física en bodegas</t>
  </si>
  <si>
    <t>Vicepresidencia Administrativa y Financiera
Coordinador Grupo de Servicios Administrativos</t>
  </si>
  <si>
    <t>No. Elementos registrados en bodegas en el sistema de inventarios webSafi modulo de Inventarios</t>
  </si>
  <si>
    <t>Realizar el ingreso de los bienes a la bodega de nuevos e inmediato egreso conforme a la distribución planteada por el supervisior del contrato a cargo de la adquisición</t>
  </si>
  <si>
    <t>% Ingresos y egresos del almacén</t>
  </si>
  <si>
    <t xml:space="preserve">Garantizar el ingreso de los bienes al almacen de la ANM y la oportuna distribución de los mismos </t>
  </si>
  <si>
    <t>WEBSAFI (entradas y salidas del almacén)</t>
  </si>
  <si>
    <t>No de bienes que reportan salida del Almacén y su ubicación</t>
  </si>
  <si>
    <t>No de bienes ingresados al almacén</t>
  </si>
  <si>
    <t>Elaboración de estudios previos
Entrega de procesos al grupo de Contratación Estatal
Publicación de procesos</t>
  </si>
  <si>
    <t>% de procesos tramitados en el  grupo de contratacion según cronograma del plan anual de adquisiciones correspondiente al Grupo de Servicios Administrativos</t>
  </si>
  <si>
    <t>Garantizar el trámite oportuno de los procesos de contratación a cargo del grupo de Servicios Administrativos conforme al cronograma establecido en el PAA publicado a 31 de enero de 2018</t>
  </si>
  <si>
    <t>Plan anual de adquisiciones</t>
  </si>
  <si>
    <t>No de Procesos de contratación tramitados para revisión del comité estructurador en el trimestre</t>
  </si>
  <si>
    <t>No. De procesos programados para  ser tramitados en el trimestre de acuerdo al PAA 2018</t>
  </si>
  <si>
    <t>Recepción y revisión de facturas y cuentas de cobro
Radicación de facturas y cuentas de cobro al Grupo de Recursos Financieros</t>
  </si>
  <si>
    <t>% Ejecución del PAC programado por el Grupo de Servicios Administrativos</t>
  </si>
  <si>
    <t>Garantizar el cumplimiento del PAC programado mensualmente por el grupo de Servicios Administrativos en lo relacionado con gastos de tracto sucesivo (Vigilancia, combustible, aseo, cafetería, tiquetes, mantenimiento automotor, servicios públicos, arrendamientos)</t>
  </si>
  <si>
    <t>SIIF (informes de pagos realizados)</t>
  </si>
  <si>
    <t xml:space="preserve">% PAC ejecutado </t>
  </si>
  <si>
    <t xml:space="preserve">%PAC programado </t>
  </si>
  <si>
    <t>Fortalecer la Infraestructura Institucional para la correcta prestacion del servicio de la ANM</t>
  </si>
  <si>
    <t>Mantenimiento de edificaciones
Mantenimiento de instalaciones eláctricas e hidráulicas
Mantenimiento de mobiliario y equipamiento
Mantenimiento de áreas exteriores
Mitigar contaminación visual</t>
  </si>
  <si>
    <t>% ejecucion del plan anual de mantenimiento</t>
  </si>
  <si>
    <t>Realizar Mantenimiento Preventivo a las sedes de la ANM conforme al cronograma establecido en el Plan de Mantenimiento a la Infraestructura Física. El avance de este indicador dependera de la adjudicación de los procesos de comtratación a desarrollarse en la presente vigencia.</t>
  </si>
  <si>
    <t>Plan de mantenimiento (informes de intervención)</t>
  </si>
  <si>
    <t>No. de sedes a las cuales se reealizó Mantenimiento Preventivo</t>
  </si>
  <si>
    <t xml:space="preserve">No. De sedes programadas para mantenimiento </t>
  </si>
  <si>
    <t>Fortalecer la ejecucion presupuestal de la entidad</t>
  </si>
  <si>
    <r>
      <rPr>
        <sz val="9"/>
        <color theme="1"/>
        <rFont val="Calibri"/>
        <family val="2"/>
        <scheme val="minor"/>
      </rPr>
      <t xml:space="preserve">Ejecutar el presupuesto asignado conforme a lo programado en el SIIF y el Plan Anual de adquisiciones
</t>
    </r>
    <r>
      <rPr>
        <u/>
        <sz val="9"/>
        <color indexed="12"/>
        <rFont val="Calibri"/>
        <family val="2"/>
        <scheme val="minor"/>
      </rPr>
      <t xml:space="preserve">
Ver Plan Anual de Adquisiciones</t>
    </r>
  </si>
  <si>
    <t xml:space="preserve">Garantizar la ejecución del presupuesto de la entidad según lo acordado en la mensualización del Plan de Adquisicones </t>
  </si>
  <si>
    <t>SIIF (reportes de ejecución)</t>
  </si>
  <si>
    <t>% ejecucion Presupuestal de inversion y funcionamiento (SIIF)</t>
  </si>
  <si>
    <t xml:space="preserve">Vicepresidencia Administrativa y Financiera
Coordinador Grupo de Planeación
</t>
  </si>
  <si>
    <t>% de programacion presupuestal de Inversion y Funcionamiento (Plan Anual de adquisiciones)</t>
  </si>
  <si>
    <t>Fortalecer el proceso de revision, mejoramiento y aplicación de los procedimientos del area</t>
  </si>
  <si>
    <t xml:space="preserve">Garantizar dentro del proceso de mejora continua, Revisados  de los procedimientos que se identifique requieran ajuste con base en los linemientos de Ley y los lineamientos de la alta dirección
ADMINISTRACIÓN DE BIENES Y SERVICIOS (1. Almacén e inventarios, 2. Gestión de pólizas de seguros, 3. Mantenimiento y adecuación de infraestructura y administración de espacios y 4. Administración de aseo y cafetería. 5. Administración de vigilancia 
GESTIÓN DOCUMENTAL  1 Préstamo de documentos del archivo central, </t>
  </si>
  <si>
    <t>Actas de reunión</t>
  </si>
  <si>
    <t>Disminuir la significancia de aspectos e impactos ambientales producidos por las actividades y servicios de la ANM.</t>
  </si>
  <si>
    <t>Adelantar acciones o campañas para incentivar a los servidores públicos de la ANM en la disminución de consumo de energía y efectuar su medición al final de la vigencia.</t>
  </si>
  <si>
    <t>Acciones adelantadas para incentivar la disminución en consumo de energía</t>
  </si>
  <si>
    <t>Adelantar campañas de educación y sensibilizacion a los servidores públicos de las ANM encaminadas a la disminución del consumo de Energía.
Campaña de educación (Grupo de Talento Humano - SST)
Campaña de sensibilización (Grupo de planeación - SIG)
Socialización de las campañas (Comunicaciones y Participación ciudadana)</t>
  </si>
  <si>
    <t>Campañas de divulgación 
Medición de consumos (Facturas)</t>
  </si>
  <si>
    <t>No. De acciones o campañas adelantadas</t>
  </si>
  <si>
    <t xml:space="preserve">Vicepresidencia Administrativa y Financiera
Coordinador Grupo de Planeación
Oficina de comunicaciones y participación Ciudadana
Grupo de Talento Humano - SST
</t>
  </si>
  <si>
    <t>No. De acciones o campañas programadas</t>
  </si>
  <si>
    <t>Adelantar acciones o campañas para incentivar a los a los servidores públicos de la ANM en la disminución de consumo de Agua y efectuar su medición al final de la vigencia.</t>
  </si>
  <si>
    <t>Acciones adelantadas para incentivar la disminución en consumo de AGUA</t>
  </si>
  <si>
    <t>Adelantar campañas de educación y sensibilizacion a los servidores públicos de las ANM encaminadas a la disminución del consumo de Agua.
Campaña de educación (Grupo de Talento Humano - SST)
Campaña de sensibilización (Grupo de planeación - SIG)
Socialización de las campañas (Comunicaciones y Participación ciudadana)</t>
  </si>
  <si>
    <t>Incentivar el uso del Punto Ecológico para aumentar en 0,5% el peso de residuos aprovechables de la ANM</t>
  </si>
  <si>
    <t>% Aumento de residuos aprovechables de la ANM</t>
  </si>
  <si>
    <t>Aplica para la medición de la correcta separación  delos residuos generados en las instalaciones de la sede central de la Agencia Nacional de Mineria, conformada por los pisos 8, 9, 10  y local 107 de la Torre 3.</t>
  </si>
  <si>
    <t>Planillas de control de residuos</t>
  </si>
  <si>
    <t>ACUMULABLE</t>
  </si>
  <si>
    <t xml:space="preserve">Kg de Residuos Aprovechables del trimestre </t>
  </si>
  <si>
    <t>Kg de Residuos Aprovechables Generados trimestre anterior</t>
  </si>
  <si>
    <t>Garantizar el cumplimiento de las Obligaciones Financieras de la ANM 
(Ejecución del PAC)</t>
  </si>
  <si>
    <t>Ejecutar los recursos del presupuesto tanto de nación como propios, según el PAC solicitado por la entidad para cada mes</t>
  </si>
  <si>
    <t>% de cumplimiento del PAC</t>
  </si>
  <si>
    <t>Garantizar la ejecución del PAC cumpliendo con los topes mínimos de PAC sin ejecutar, establecidos por la Dirección del Tesoro Nacional</t>
  </si>
  <si>
    <t>Programa Anual de Caja (PAC) Ejecutado</t>
  </si>
  <si>
    <t>Vicepresidencia Administrativa y Financiera
Coordinador Grupo de Recursos Financieros</t>
  </si>
  <si>
    <t>Programa Anual de Caja (PAC) Programado</t>
  </si>
  <si>
    <t>Registrar  las partidas de cartera tanto por identificar como por registrar en bancos</t>
  </si>
  <si>
    <t>Mantener actualzada la cartera de la ANM, minimizando las partidas por identificar y/o registrar en bancos</t>
  </si>
  <si>
    <t>% de solicitudes  recibidas y registradas que afectan la cartera dentro del mes</t>
  </si>
  <si>
    <t>Reducir el volumen de transacciones por identificar y/o registrar en bancos</t>
  </si>
  <si>
    <t>No. Solicitudes registradas partidas de cartera</t>
  </si>
  <si>
    <t>No. Solicitudes recibidas partidas de cartera</t>
  </si>
  <si>
    <t>Implementar las Normas Internacionales de Contabilidada del Sector Público en las fechas establecidas por la Contaduría General de la Nación</t>
  </si>
  <si>
    <t>1. Registro operaciones contables diciembre 31 2017.  2.  Transmision via CHIP.  3.   Cargue de saldos inicales: A.  Saldos inciales bajo el nuevo marco Normativo.  B.Reporte formulario de la categoría Estado de Situacié
Financiera de Apertura:- Convergencia (Artículo 16 de Resolución  706 de 2016)</t>
  </si>
  <si>
    <t>% de ejecución del cronograma de actividades</t>
  </si>
  <si>
    <t>Aplicabilidad de la NICSP en la ANM</t>
  </si>
  <si>
    <r>
      <t>No. de actividades ejecutadas</t>
    </r>
    <r>
      <rPr>
        <sz val="9"/>
        <color indexed="10"/>
        <rFont val="Calibri"/>
        <family val="2"/>
      </rPr>
      <t xml:space="preserve"> </t>
    </r>
  </si>
  <si>
    <t>No. de actividades ejecutadas</t>
  </si>
  <si>
    <t>Identificar los procedimientos del Area, mejorar, actualizar y ajustar según sea identificado</t>
  </si>
  <si>
    <r>
      <t xml:space="preserve">Garantizar dentro del proceso de mejora continua, la revisión y ajuste de los procedimientos que se identifique requieran ajustes con base en los linemientos de Ley y los lineamientos de la alta dirección
</t>
    </r>
    <r>
      <rPr>
        <b/>
        <sz val="9"/>
        <rFont val="Calibri"/>
        <family val="2"/>
      </rPr>
      <t>GESTIÓN FINANCIERA</t>
    </r>
    <r>
      <rPr>
        <sz val="9"/>
        <rFont val="Calibri"/>
        <family val="2"/>
      </rPr>
      <t xml:space="preserve"> (1. Administración contable 2. Ejecución presupuestal 3. Tesorería 4. Modificaciones)
</t>
    </r>
  </si>
  <si>
    <t>Ultimo día del Trimestre (Jun)</t>
  </si>
  <si>
    <t xml:space="preserve">No. de Procedimientos revisados  </t>
  </si>
  <si>
    <t>Gestionar el recaudo de la cartera remitida a Cobro Coactivo</t>
  </si>
  <si>
    <t>Adelantar todas las actividades tendientes a la recuperación de los créditos a favor de la entidad, remitidos con el lleno de los requisitos exigidos por la Ley, para cobro coactivo. Para lo anterior aún cuando la línea base anual para 2016 fue de $750 millones y para 2017 de $800 millones de pesos, se tendra como meta de vigencia para el 2018 la suma de $8 mil millones de pesos, ello en razón del estudio de los siguientes criterios: facilidades de pago, antiguedad de cartera y obliagaciones de títulos mineros vigentes.</t>
  </si>
  <si>
    <t>%  de recaudo de los creditos a favor de la ANM</t>
  </si>
  <si>
    <t>Inicia con la gestión de cobro en etapa persuasiva y de ser necesario en la etapa coactiva, con el acto administrativo de caducidad ejecutoriado, que es radicado a este Grupo por parte de la Vicepresidencia de Seguimiento,  Control y Seguridad Minera, culminando con el recaudo de la deuda luego de la gestión establecida en la ley</t>
  </si>
  <si>
    <t>Base de datos del Grupo de Cobro Coactivo: Control Recaudo 2018 el cual se encuentra ubicado en el equipo del coordinador del Grupo.</t>
  </si>
  <si>
    <t>último día hábil del mes de diciembre</t>
  </si>
  <si>
    <t>100% = $4.009.080.901</t>
  </si>
  <si>
    <t>Vr. Recaudos Logrados</t>
  </si>
  <si>
    <t>Oficina Asesora Jurídica
Coordinador Cobro Coactivo</t>
  </si>
  <si>
    <t>Vr. Recaudos programados</t>
  </si>
  <si>
    <t xml:space="preserve">Gestionar (por lo menos  en dos oportunidades) el 100% de los procesos vigentes en el Grupo de Cobro Coactivo </t>
  </si>
  <si>
    <t>% de procesos gestionados</t>
  </si>
  <si>
    <t>Inicia con la recepción y análisis de procedencia de la acción de cobro coactivo, a través de la emisión del auto que avoca conocimiento y la gestión de cobro persuaivo, analisis de bienes. Posteriormente la emisión del mandamiento de pago, emabrgo y secuestro, remate según corresponda</t>
  </si>
  <si>
    <t>Base de datos del Grupo de Cobro Coactivo: Gestión, Cobro Persuasivo el cual se encuentra ubicado en el equipo del Coordinador del Grupo y base de datos de correspondencia l cual se encuentra ubicado en el equipo del Técnico Asistencial del Grupo.</t>
  </si>
  <si>
    <t>ultimo día hábil del trimestre (marzo, junio, septiembre y diciembre)</t>
  </si>
  <si>
    <t>N/A por definir</t>
  </si>
  <si>
    <t>Procesos gestionados a cargo del Grupo de Cobro Coactivo</t>
  </si>
  <si>
    <t>Número total de procesos a cargo del Grupo de Cobro Coactivo</t>
  </si>
  <si>
    <t>Identificar y presentar ante el Comité Técnico de Sostebiliad Contable  las obligaciones susceptibles de declaración y depuración contable que se encuentren en el Grupo de Cobro Coactivo</t>
  </si>
  <si>
    <t>% de obligaciones presentadas ante el Comité Técnico de Sostenibilidad Contable y Seguimiento a la Cartera que se encuentran en el Grupo de Cobro Coactivo</t>
  </si>
  <si>
    <t>Inicia desde la verificación de las obligaciones de los procesos de cobro persuasivo y coactivo, realizando el estudio de la edad de la obligación y terminando con la presentación de las fichas al Comité Tecnico de Sostenibilidad Contable</t>
  </si>
  <si>
    <t>Base de datos del Grupo de Cobro Coactivo: Obligaciones Comité la cual se encuentra ubicada en el equipo del coordinador del Grupo.</t>
  </si>
  <si>
    <t>Ultimo día (31) del  mes de  Mayo y (30) Noviembre</t>
  </si>
  <si>
    <t>Total de obligaciones presentadas ante el Comité Técnico de Sostenibilidad Contable y Seguimiento a la Cartera</t>
  </si>
  <si>
    <t>Total de obligaciones identificadas como susceptibles de presentar ante el Comité Técnico de Sostenibilidad Contable y Seguimiento a la Cartera.</t>
  </si>
  <si>
    <t>Facilitar y promover el uso de las tecnologías de la información y las comunicaciones con el fin de mejorar  el acceso de la  ciudadanía a la información sobre trámites y a su ejecución por medios electrónicos, creando condiciones de confianza en el uso de las TIC.</t>
  </si>
  <si>
    <r>
      <rPr>
        <sz val="9"/>
        <color theme="1"/>
        <rFont val="Calibri"/>
        <family val="2"/>
        <scheme val="minor"/>
      </rPr>
      <t xml:space="preserve">Desarrollos para modificar, optimizar o automatizar  trámites u otros Procedimientos Administrativos  (OPAS)  de la ANM </t>
    </r>
    <r>
      <rPr>
        <u/>
        <sz val="9"/>
        <color indexed="12"/>
        <rFont val="Calibri"/>
        <family val="2"/>
        <scheme val="minor"/>
      </rPr>
      <t xml:space="preserve">
Ver Plan Anticorrupción y de Atención al Ciudadano</t>
    </r>
  </si>
  <si>
    <t>% de trámites u OPAS modificados, optimizados o automatizados</t>
  </si>
  <si>
    <t xml:space="preserve">Realizar los desarrollos pasra racionalización tecnológica de trámites u otros Procedimientos Administrativos  (OPAS)  de la ANM , conforme alas solicitudes recibidas 
</t>
  </si>
  <si>
    <t xml:space="preserve">Plataforma tecnológica con los desarrollos realizados </t>
  </si>
  <si>
    <t>Último día del Trimestre (Mar, Jun, Sep y Dic)</t>
  </si>
  <si>
    <t xml:space="preserve">CUMPLIMIENTO TOTAL </t>
  </si>
  <si>
    <t xml:space="preserve">Número de solicitudes atendidas para racionalización tecnológica de trámites u OPAS conforme a la programación en el período </t>
  </si>
  <si>
    <t xml:space="preserve">Oficina de Tecnología e Información </t>
  </si>
  <si>
    <t xml:space="preserve">Total de solicitudes recibidas y programadas  para racionalización tecnológica de tràmites u OPAS en el período </t>
  </si>
  <si>
    <t>Cumplir con los estándares definidos por el gobierno nacional para el cumplimiento de la Estrategia de Gobierno en Línea ( Hoy Gobierno Digital-Decreto 1499 de 2017)</t>
  </si>
  <si>
    <r>
      <rPr>
        <sz val="9"/>
        <rFont val="Calibri"/>
        <family val="2"/>
        <scheme val="minor"/>
      </rPr>
      <t xml:space="preserve">Gestionar las acciones necesarias para cumplir con los estándares definidos por el gobierno nacional para el cumplimiento del Programa Gobierno en Línea - Decreto 1078 de 2015 ( Hoy Gobierno Digital) 
</t>
    </r>
    <r>
      <rPr>
        <u/>
        <sz val="9"/>
        <color indexed="12"/>
        <rFont val="Calibri"/>
        <family val="2"/>
        <scheme val="minor"/>
      </rPr>
      <t xml:space="preserve">
Ver Plan Estratégico de Tecnologías de la Información y las Comunicaciones ­ PETIC</t>
    </r>
  </si>
  <si>
    <t>Porcentajes de cumplimiento  de la Estrategia de Gobierno en Línea GEL- Eje: TIC para Servicios para la vigencia 2018</t>
  </si>
  <si>
    <t xml:space="preserve">Cumplimiento de las actividades de la matriz GEL ( o la que haga sus veces) en el componenete TIC- servicios
</t>
  </si>
  <si>
    <t>Matriz GEL (o la que haga sus veces)</t>
  </si>
  <si>
    <t xml:space="preserve">Anual ùltimo dìa del año </t>
  </si>
  <si>
    <t>CUMPLIMIENTO TOTAL</t>
  </si>
  <si>
    <t xml:space="preserve">% de cumplimiento  de la Estrategia de Gobierno en Línea GEL- Eje: TIC para Servicios </t>
  </si>
  <si>
    <t>% programado</t>
  </si>
  <si>
    <t>Porcentajes de cumplimiento  de la Estrategia de Gobierno en Línea GEL -  Eje: TIC para El Gobierno Abierto para la vigencia 2018.</t>
  </si>
  <si>
    <t>Cumplimiento de las actividades de la matriz GEL ( o la que haga sus veces) en el componenete TIC para el  gobierno abierto</t>
  </si>
  <si>
    <t xml:space="preserve">% de cumplimiento  de la Estrategia de Gobierno en Línea GEL -  Eje: TIC para El Gobierno Abierto </t>
  </si>
  <si>
    <t>Porcentajes de cumplimiento  de la Estrategia de Gobierno en Línea GEL =  Eje: TIC para La Gestión para la vigencia 2018</t>
  </si>
  <si>
    <t>Cumplimiento de las actividades de la matriz GEL ( o la que haga sus veces) en el componente TIC para la  gestión</t>
  </si>
  <si>
    <t>% de cumplimiento  de la Estrategia de Gobierno en Línea GEL =  Eje: TIC para La Gestión</t>
  </si>
  <si>
    <t>Porcentajes de cumplimiento  de Estrategia de Gobierno en Línea GEL - Eje: TIC para Seguridad y privacidad de la información para la vigencia 2018</t>
  </si>
  <si>
    <t xml:space="preserve">Cumplimiento de las actividades de la matriz GEL ( o la que haga sus veces) en el componente TIC para la  seguridad y privacidad de la información
</t>
  </si>
  <si>
    <t>% de cumplimiento  de Estrategia de Gobierno en Línea GEL - Eje: TIC para Seguridad y privacidad de la información</t>
  </si>
  <si>
    <t>*N</t>
  </si>
  <si>
    <t>Matriz de Activos de información de la ANM creada y publicada</t>
  </si>
  <si>
    <t>Incluye la identificación y valoración de los activos de infromación (Obj 1)</t>
  </si>
  <si>
    <t>Documentos con la   Matriz de Activos de información de la ANM creada y publicada</t>
  </si>
  <si>
    <t xml:space="preserve">Último día del tercer Trimestre </t>
  </si>
  <si>
    <t>-</t>
  </si>
  <si>
    <t>Matriz de Activos de información de la ANM programada para crear y publica</t>
  </si>
  <si>
    <t>Identificar los Riesgos de seguridad de la información del proceso Identificación de Riesgos al proceso de Administración de Tecnologías e  Información (Obj 2)</t>
  </si>
  <si>
    <t>Identificación de Riesgos al proceso de Administración de Tecnologías e  Información (Obj 2)</t>
  </si>
  <si>
    <t>Documento  con la Matriz de Riesgos de gestiòn  para el proceso  de Admisnitración de Tecnologías e  Información</t>
  </si>
  <si>
    <t xml:space="preserve"> Matriz de Riesgos de Gestión ara el proceso  de Admisnitración de Tecnologías e  Información</t>
  </si>
  <si>
    <t>Matriz de Riesgos de gestiòn  para el proceso  de Admisnitración de Tecnologías e  Información</t>
  </si>
  <si>
    <t>% de identificaciòn de las acciones para dar continuidad de los servicios de TI  prestados</t>
  </si>
  <si>
    <t>Acciones encaminadas a mitigar riesgos que afectan la continudad de los servicos de TI (Obj 4)</t>
  </si>
  <si>
    <t>Documento  con la identificaciòn de las acciones para dar continuidad de los servicios de TI  prestados</t>
  </si>
  <si>
    <t xml:space="preserve">Último día del cuarto Trimestre </t>
  </si>
  <si>
    <t xml:space="preserve">Mantener los resultados alcanzados  en el cumplimiento  de Estrategia de Gobierno en Línea GEL </t>
  </si>
  <si>
    <t xml:space="preserve">Mantenimiento del cumplimiento alcanzado de la Estrategia Gobierno en Línea - GEL en sus cuatro componentes
</t>
  </si>
  <si>
    <t xml:space="preserve">% de mantenimiento del cumplimiento   de la Estrategia de Gobierno en Línea GEL en sus cuatro componentes </t>
  </si>
  <si>
    <r>
      <rPr>
        <sz val="9"/>
        <rFont val="Calibri"/>
        <family val="2"/>
        <scheme val="minor"/>
      </rPr>
      <t xml:space="preserve">Realizar la actualización del proceso de Administración de Tecnologìas de la información 
</t>
    </r>
    <r>
      <rPr>
        <u/>
        <sz val="9"/>
        <color indexed="12"/>
        <rFont val="Calibri"/>
        <family val="2"/>
        <scheme val="minor"/>
      </rPr>
      <t xml:space="preserve">
Ver Plan de Tratamiento de Riesgos de Seguridad y Privacidad de la Información</t>
    </r>
  </si>
  <si>
    <t xml:space="preserve">
Identificación de requisitos legales referentes a Seguridad de la Informaciòn </t>
  </si>
  <si>
    <t xml:space="preserve">
Identificación de requisitos legales referentes a Seguridad de la Informaciòn  (Obj 5)</t>
  </si>
  <si>
    <t xml:space="preserve">
Documento con la Identificación de requisitos legales referentes a Seguridad de la Informaciòn </t>
  </si>
  <si>
    <t xml:space="preserve">Documento con la Identificación de requisitos legales referentes a Seguridad de la Informaciòn </t>
  </si>
  <si>
    <t>Actualización del proceso  de Administración de Tecnologías de la información</t>
  </si>
  <si>
    <t xml:space="preserve">Actualización del proceso de Administración de Tecnologías de la información con sus respectivos procedimientos </t>
  </si>
  <si>
    <t>Actualización del proceso de Administración de Tecnologìas de la información con sus respectivos procedimientos</t>
  </si>
  <si>
    <t xml:space="preserve">Avance en el plan para la actualización del proceso de Administración de Tecnologías de la Información </t>
  </si>
  <si>
    <t xml:space="preserve">Actualización del proceso de Administración de Tecnologìas de la información con sus respectivos procedimientos conforme con lo programado </t>
  </si>
  <si>
    <t>Fortalecer y reforzar la atención y prestación de servicios relacionados con la Oficina de Tecnología e Información</t>
  </si>
  <si>
    <t>Medir la percepción de la satisfacción de los usuarios internos con los servicios prestados por la oficina de tecnología</t>
  </si>
  <si>
    <t xml:space="preserve">% de percepción de la satisfacción de los servicios prestados por la OTI </t>
  </si>
  <si>
    <t xml:space="preserve">Cuatro encuestas en el año que son aplicadas dentro de cada trimestre </t>
  </si>
  <si>
    <t xml:space="preserve">Resultados de cada encuesta trimestral </t>
  </si>
  <si>
    <t xml:space="preserve">CUMPLIMIENTO TOTAL  DURANTE CADA PERIODO </t>
  </si>
  <si>
    <t>% de percepción de la satisfacción con los servicios prestados por la OTI obtenido</t>
  </si>
  <si>
    <t xml:space="preserve">%  de Percepción Programado  </t>
  </si>
  <si>
    <t>Medir la percepción de la satisfacción de los usuarios externos con los  servicios asociados a los trámites en línea de la ANM</t>
  </si>
  <si>
    <t>% de percepción de la satisfacción de los servicios tecnológicos  asociados a  los trámites en línea de la ANM</t>
  </si>
  <si>
    <t>Resultados de la encuestas relizadas durante en cada semestre  de la vigencia</t>
  </si>
  <si>
    <t xml:space="preserve">Resultados semestrales de las  encuestas </t>
  </si>
  <si>
    <t>Último día del Semestre (Jun y Dic)</t>
  </si>
  <si>
    <t>% de percepción de la satisfacción con los servicios  tecnològicos  asociados a  los trámites en línea de la ANM</t>
  </si>
  <si>
    <t>Medir la oportunidad de la atención de requerimientos e incidentes recibidos por la Oficina de Tecnologìa e Información</t>
  </si>
  <si>
    <t>%de requerimientos e incidentes atendidos dentro de los acuerdos de nivel de servicios (ANS) establecidos</t>
  </si>
  <si>
    <t>Resultado cumplimiento de ANS en el trimestre  (Obj 3)</t>
  </si>
  <si>
    <t xml:space="preserve">Resultados consolidados trimestrales del cumplimiento de ANS  </t>
  </si>
  <si>
    <t xml:space="preserve">Número de casos ( incidentes  y requerimientos ) atendidos dentro de los ANS  </t>
  </si>
  <si>
    <t xml:space="preserve">Total de  casos  (incidentes y requerimientos) recibidos </t>
  </si>
  <si>
    <t>Fortalecer la ejecución presupuestal de la Entidad</t>
  </si>
  <si>
    <r>
      <rPr>
        <sz val="9"/>
        <color theme="1"/>
        <rFont val="Calibri"/>
        <family val="2"/>
        <scheme val="minor"/>
      </rPr>
      <t xml:space="preserve"> Ejecutar el presupuesto asignado conforme a lo programado en el SIIF y el Plan Anual de adquisiciones
</t>
    </r>
    <r>
      <rPr>
        <u/>
        <sz val="9"/>
        <color indexed="12"/>
        <rFont val="Calibri"/>
        <family val="2"/>
        <scheme val="minor"/>
      </rPr>
      <t xml:space="preserve">
Ver Plan Anual de Adquisiciones</t>
    </r>
  </si>
  <si>
    <t xml:space="preserve">% de ejecución de las obligaciones presupuestales correpodeintes al preupuesto asignado al área </t>
  </si>
  <si>
    <t xml:space="preserve">Obligaciones  presupuestales  trimestrales en comparación con lo programado en el Plan Anual de Adquisicones </t>
  </si>
  <si>
    <t>SIIF NACIÒN</t>
  </si>
  <si>
    <t>Ejecución de obligaciones en el periodo</t>
  </si>
  <si>
    <t>Valor total del presupuesto asignado al área</t>
  </si>
  <si>
    <t>Reducir del consumo de papel</t>
  </si>
  <si>
    <t>% de reducción del consumo de papel</t>
  </si>
  <si>
    <t xml:space="preserve">Aplica para la medición del uso eficiente y adecuado del recurso papel que se consume por parte de la Agencia </t>
  </si>
  <si>
    <t xml:space="preserve">Informe trimestral de la OTI, elaborado a partir de la información del software de control de impresión de la ANM </t>
  </si>
  <si>
    <t>Disminuir en un 2% el consumo percápita de impresiones, con respecto al mismo trimestre del año inmediatamente anterior</t>
  </si>
  <si>
    <t>[[((Resmas de papel usadas para impresión  percápita en el trimestre actual-Resmas de papel usadas para impresión pércapita en el mismo trimestre del año anterior)/Resmas de papel usadas para impresión  pércapita en el mismo trimestre del año anterior) * -1] + (100%-Porcentaje de reducción pércapita  programado por trimestre)]</t>
  </si>
  <si>
    <r>
      <rPr>
        <sz val="9"/>
        <color theme="0"/>
        <rFont val="Calibri"/>
        <family val="2"/>
        <scheme val="minor"/>
      </rPr>
      <t>/</t>
    </r>
    <r>
      <rPr>
        <sz val="9"/>
        <color theme="1"/>
        <rFont val="Calibri"/>
        <family val="2"/>
        <scheme val="minor"/>
      </rPr>
      <t xml:space="preserve">Cumplimiento de la meta </t>
    </r>
  </si>
  <si>
    <t xml:space="preserve"> Actividades de sensibilización ambiental para la reducción del consumo de papel </t>
  </si>
  <si>
    <t xml:space="preserve">Aplica a la Agencia </t>
  </si>
  <si>
    <t xml:space="preserve">Informe semestral de la OTI, elaborado a partir de la información del software de control de impresión de la ANM </t>
  </si>
  <si>
    <t>Último día del Semestre ( Jun  y Dic)</t>
  </si>
  <si>
    <t>Dos actividades de sensibilización ambiental en el año orientadas al uso eficiente del papel</t>
  </si>
  <si>
    <t>Actividades de sensibilización ambiental realizadas en el semestre</t>
  </si>
  <si>
    <t>No. de actividades de sensibilización ambiental  programadas  en el semestre</t>
  </si>
  <si>
    <t xml:space="preserve">Vigilar la conducta de los servidores y ex servidores públicos de la ANM y  promover la prevención de incursión en faltas disciplinarias  </t>
  </si>
  <si>
    <t>Tramitar el 100%  de los procesos disciplinarios activos a corte del 31 diciembre del 2017 con por lo menos una actuación</t>
  </si>
  <si>
    <t>% de procesos del stock a 31 de diciembre de 2017 con por lo menos una actuación durante el año</t>
  </si>
  <si>
    <t>“Tramitar el 100% de los procesos disciplinarios con por lo menos una actuación.” El 100% equivale a 145 procesos del stock a 31 diciembre del 2017</t>
  </si>
  <si>
    <t>Información registrada en los cuadros de actos administrativos y de Seguimiento a procesos</t>
  </si>
  <si>
    <t>Ultimo día del Trimestre (Marzo, Junio, Septiembre y Diciembre)</t>
  </si>
  <si>
    <t xml:space="preserve">No de procesos con por lo menos una actuación durante el periodo </t>
  </si>
  <si>
    <t>Vicepresidente Administrativa y Financiera</t>
  </si>
  <si>
    <t>Vicepresidente Administrativa y Financiera
Grupo de Control Interno Disciplinario</t>
  </si>
  <si>
    <t>No proceso radicados antes del 31 de diciembre del 2017 programados (145)</t>
  </si>
  <si>
    <t>Tramitar el 100%  de los procesos disciplinarios recibidos durante el año 2018 con por lo menos una actuación</t>
  </si>
  <si>
    <t>% de procesos recibidos con por lo menos una actuación durante el año</t>
  </si>
  <si>
    <t>Tramitar el 100% de los procesos disciplinarios recibidos durante el 2018 con por lo menos una actuación durante del año</t>
  </si>
  <si>
    <t>Día 30 del último mes del Trimestre (Junio, Septiembre y Diciembre). Se tendrán en cuenta los procesos que se allegan hasta el día 20 del último mes del trimestre</t>
  </si>
  <si>
    <t>No de procesos con por lo menos una actuación durante el periodo</t>
  </si>
  <si>
    <t>Total de procesos recibidos durante el periodo</t>
  </si>
  <si>
    <t>Disminuir en un 50% el número de procesos disciplinarios con corte a 31 de diciembre de 2015</t>
  </si>
  <si>
    <t>% de  procesos finalizados</t>
  </si>
  <si>
    <t>Disminuir el # de procesos que fueron radicados antes del 31 de diciembre de 2015
NOTA: Al corte del 31 de diciembre de 2015 se tienen activo 62 procesos, el 50% correponde a 31 procesos</t>
  </si>
  <si>
    <t>Información registrada en los cuadros de actos administrativos, de Seguimiento a procesos y procesos activos</t>
  </si>
  <si>
    <t>Ultimo día del Trimestre (Junio, Septiembre y Diciembre)</t>
  </si>
  <si>
    <t>No de procesos finalizados en el periodo</t>
  </si>
  <si>
    <t>No de procesos radicados antes del 31 diciembre del 2015 programados</t>
  </si>
  <si>
    <t>Realizar una jornada de sensibilización (juegos) en temas disciplinarios y valorar el grado de asimilación de los conocimientos derivados de dichas jornadas</t>
  </si>
  <si>
    <t>%  de servidores sensibilizados</t>
  </si>
  <si>
    <t>Sensibilizar el 70% de los servidores publicos vinculados dentro del mes a capacitar. 
La meta correspondera  a la cantidad de servidores que esten activos en la ANM durante el mes de la capacitacion.</t>
  </si>
  <si>
    <t>Información relacionada con el número de servidores públicos participantes en la jornada de sensibilización que se desarrolle</t>
  </si>
  <si>
    <t>Ultimo día del Trimestre (Sep)</t>
  </si>
  <si>
    <t>No. de servidores que participan en la jornada de sensibilización durante el periodo</t>
  </si>
  <si>
    <t>No. de servidores programados para la jornada de sensibilización durante el periodo</t>
  </si>
  <si>
    <t>% esperado en conocimiento de asuntos disciplinarios</t>
  </si>
  <si>
    <t>Medir el nivel de conocimiento  en asuntos disciplinarios a los funcionarios publicos.
El denominador se tomara de acuerdo al numerado del indicador "%  de servidores sensibilizados"</t>
  </si>
  <si>
    <t>Información relacionadada con el grado de conocimientos adquiridos por parte de los servidores públicos sensibilizados</t>
  </si>
  <si>
    <t xml:space="preserve">No. de evaluaciones de conocimiento con un puntaje igual o superior a 70 puntos </t>
  </si>
  <si>
    <t>Total de las evaluaciones de conocimiento</t>
  </si>
  <si>
    <t>Identificar los procedimientos del Área, mejora, actualizar y ajustar según sea identificado</t>
  </si>
  <si>
    <r>
      <t>Garantizar dentro del proceso de mejora continua, la revisión y ajuste de los procedimientos que se identifique requieran ajuste con base en los linemientos de Ley y los lineamientos de la alta dirección
GESTIÓN DEL TALENTO HUMANO (1. Disciplinario ordinario, 2. Disciplinario verbal, 3. Segunda instancia)</t>
    </r>
    <r>
      <rPr>
        <b/>
        <sz val="8"/>
        <rFont val="Calibri"/>
        <family val="2"/>
        <scheme val="minor"/>
      </rPr>
      <t/>
    </r>
  </si>
  <si>
    <t>Información actualizada y publicada en Isolucion</t>
  </si>
  <si>
    <t>No. de Procedimientos revisados y actualizados en Isolucion</t>
  </si>
  <si>
    <t>No. de Procedimientos vigentes programados para revisión y actualización en Isolucion</t>
  </si>
  <si>
    <t>Subir y actualizar el 100% de los procesos activos Sistema de Información Disciplinaria SID3</t>
  </si>
  <si>
    <t>% de procesos activos subidos y actualizados en el SID3</t>
  </si>
  <si>
    <t>Subir y actualizar en el Sistema de Información Disciplinaria SID3 el 100% de los procesos que llegaron activos al 1 de enero del 2018 y los que se inicien en la vigenecia 2018 hasta 31 de noviembre de 2018</t>
  </si>
  <si>
    <t>No. Procesos subidos y actualizados No de procesos activos entre el 1 de enero y el 30 de noviembre de 2018</t>
  </si>
  <si>
    <t>Información registrada en los cuadros de actos administrativos, procesos activos y SID3</t>
  </si>
  <si>
    <t>Último día del semestre (Junio y  Diciembre)</t>
  </si>
  <si>
    <t>No. Procesos subidos y actualizados</t>
  </si>
  <si>
    <t xml:space="preserve"> No de procesos que llegaron activos al 1 de enero del 2018 y los que se inicien en la vigenecia 2018 hasta 31 de noviembre de 2018</t>
  </si>
  <si>
    <t>Fortalecer el clima organizacional por medio del desarrollo de los programas de talento humano</t>
  </si>
  <si>
    <r>
      <rPr>
        <sz val="9"/>
        <color theme="1"/>
        <rFont val="Calibri"/>
        <family val="2"/>
        <scheme val="minor"/>
      </rPr>
      <t>Medir el % de satisfacción frente al programa de bienestar social</t>
    </r>
    <r>
      <rPr>
        <u/>
        <sz val="9"/>
        <color indexed="12"/>
        <rFont val="Calibri"/>
        <family val="2"/>
        <scheme val="minor"/>
      </rPr>
      <t xml:space="preserve">
Ver Plan de Incentivos Institucionales</t>
    </r>
  </si>
  <si>
    <r>
      <t xml:space="preserve">% de satisfacción de los funcionarios con respecto a las actividades del programa de bienestar </t>
    </r>
    <r>
      <rPr>
        <sz val="9"/>
        <rFont val="Calibri"/>
        <family val="2"/>
      </rPr>
      <t>social (Obj 4)</t>
    </r>
  </si>
  <si>
    <t>Lograr la satisfacción de los funcionarios con las actividades de programadas en el plan de Bienestar minimo con una calificación del 80%</t>
  </si>
  <si>
    <t>Encuestas de satisfacción aplicadas</t>
  </si>
  <si>
    <t>Último día del trimestre (mar., jun., sep. y dic.)</t>
  </si>
  <si>
    <t>% de satisfacción obtenida frente a las actividades del plan de bienestar y estímulos</t>
  </si>
  <si>
    <t>Vicepresidencia Administrativa y Financiera
Coordinador Grupo de Gestión del Talento Humano</t>
  </si>
  <si>
    <t>Medir el % de satisfacción frente al programa institucional de capacitación.</t>
  </si>
  <si>
    <t>% de satisfacción esperada frente a las actividades del plan de bienestar y estímulos</t>
  </si>
  <si>
    <t>Medir el % de cumplimiento de la implementación del Sistema de Seguridad y Salud en el Trabajo.</t>
  </si>
  <si>
    <t>Revisar mínimo 1 vez al año riesgos a los cuales se encuentran expuestos los trabajadores de la entidad</t>
  </si>
  <si>
    <t>% de cumplimiento del plan de trabajo de gestión de riesgos significativos a los cuales se encuentran expuestos los trabajadores de la entidad (Obj 2)</t>
  </si>
  <si>
    <t>Construir y actualizar las matrices para todas las sedes de la Agencia, que permitan identificar los riesgos significativos.</t>
  </si>
  <si>
    <t xml:space="preserve">Matrices para la identificación de peligros, evaluación de riesgos y determinación de controles </t>
  </si>
  <si>
    <t>% de sedes de la Agencia con matriz de identificación de peligros actualizada</t>
  </si>
  <si>
    <t>% de sedes de la Agencia programados</t>
  </si>
  <si>
    <t>% de acciones tratadas derivadas de riesgos significativos (Obj 3)</t>
  </si>
  <si>
    <t xml:space="preserve">Documentar los mecanismos para el tratamiento de los riesgos significativos identificados </t>
  </si>
  <si>
    <t>% de riesgos significativos con plan de acción</t>
  </si>
  <si>
    <t>% de riesgos significativos identificados para elaborar palan de acción</t>
  </si>
  <si>
    <r>
      <rPr>
        <sz val="9"/>
        <color theme="1"/>
        <rFont val="Calibri"/>
        <family val="2"/>
        <scheme val="minor"/>
      </rPr>
      <t xml:space="preserve">Medir el % de satisfacción frente al programa institucional de capacitación </t>
    </r>
    <r>
      <rPr>
        <u/>
        <sz val="9"/>
        <color indexed="12"/>
        <rFont val="Calibri"/>
        <family val="2"/>
        <scheme val="minor"/>
      </rPr>
      <t xml:space="preserve">
Ver Plan Institucional de Capacitación</t>
    </r>
  </si>
  <si>
    <r>
      <t>% de s</t>
    </r>
    <r>
      <rPr>
        <sz val="9"/>
        <rFont val="Calibri"/>
        <family val="2"/>
      </rPr>
      <t>atisfacción de los funcionarios con respecto a las actividades del programa institucional de capacitación</t>
    </r>
  </si>
  <si>
    <t>Lograr la satisfacción de los funcionarios con las actividades de programadas en el plan de capacitación del 85%</t>
  </si>
  <si>
    <t>% de satisfacción de los funcionarios con respecto a las actividades del programa institucional de capacitación</t>
  </si>
  <si>
    <t>% de satisfacción esperada de los funcionarios con respecto a las actividades del programa institucional de capacitación</t>
  </si>
  <si>
    <r>
      <rPr>
        <sz val="9"/>
        <color theme="1"/>
        <rFont val="Calibri"/>
        <family val="2"/>
        <scheme val="minor"/>
      </rPr>
      <t>Medir el % de cumplimiento de la implementación del  Sistema de Seguridad y Salud en el Trabajo</t>
    </r>
    <r>
      <rPr>
        <u/>
        <sz val="9"/>
        <color indexed="12"/>
        <rFont val="Calibri"/>
        <family val="2"/>
        <scheme val="minor"/>
      </rPr>
      <t xml:space="preserve">
Ver Plan de Trabajo Anual en Seguridad y Salud en el Trabajo</t>
    </r>
  </si>
  <si>
    <r>
      <t>% de c</t>
    </r>
    <r>
      <rPr>
        <sz val="9"/>
        <rFont val="Calibri"/>
        <family val="2"/>
      </rPr>
      <t xml:space="preserve">umplimiento de la implementación </t>
    </r>
    <r>
      <rPr>
        <sz val="9"/>
        <color indexed="8"/>
        <rFont val="Calibri"/>
        <family val="2"/>
      </rPr>
      <t>del Sistema de Seguridad y Salud en el Trabajo (ObJ 1)</t>
    </r>
  </si>
  <si>
    <t>Cumplir con los indicadores y subprogramas de Seguridad y Salud en el Trabajo para alcanzar su implementación</t>
  </si>
  <si>
    <t>Evaluación de la ARL o autoevaluación del SGSST, según la Resolución 1111 de 2017 del Ministerio de Trabajo</t>
  </si>
  <si>
    <t>Último día del semestre (junio y diciembre), para seguimiento</t>
  </si>
  <si>
    <t>% de incremento en el cumplimiento obtenido en cada periodo medido de 2018</t>
  </si>
  <si>
    <t>% cumplimiento faltante para llegar a meta de la vigencia, que es 80 puntos</t>
  </si>
  <si>
    <t>Medir el % de Cumplmiento de los requistos legales mediante el Plan Anual de SST</t>
  </si>
  <si>
    <t>% de cumplimiento del plan anual de trabajo frente a requisitos por implementar (Obj 1)</t>
  </si>
  <si>
    <t>Llegar a un adecuado cumplimiento del plan de trabajo anual para el cumplimiento de los requisitos legales.</t>
  </si>
  <si>
    <t>Plan de trabajo anual del SG SST</t>
  </si>
  <si>
    <t>Semestral</t>
  </si>
  <si>
    <t>Nº de actividades ejecutadas para cumplir los requisitos legales</t>
  </si>
  <si>
    <t xml:space="preserve"> Nº total de actividades planteadas para cumplir los requisitos legales </t>
  </si>
  <si>
    <t>% de acciones tratadas derivadas de verificación del cumplimiento de los requisitos legales (Obj 1)</t>
  </si>
  <si>
    <t>Documentar los mecanismos para el tratamiento de los incumplimientos legales detectados</t>
  </si>
  <si>
    <t>Auditorías o autodiagnósticos sobre requisitos legales en SST</t>
  </si>
  <si>
    <t>Nº de hallazgos significativos con plan de acción</t>
  </si>
  <si>
    <t>% de hallazgos significativos identificados y programados para elaborar plan de acción</t>
  </si>
  <si>
    <r>
      <rPr>
        <sz val="9"/>
        <color theme="1"/>
        <rFont val="Calibri"/>
        <family val="2"/>
        <scheme val="minor"/>
      </rPr>
      <t>Dar cumplimiento en términos de ley a los requerimientos de situaciones administrativas</t>
    </r>
    <r>
      <rPr>
        <u/>
        <sz val="9"/>
        <color indexed="12"/>
        <rFont val="Calibri"/>
        <family val="2"/>
        <scheme val="minor"/>
      </rPr>
      <t xml:space="preserve">
Ver Plan Anual de Vacantes</t>
    </r>
  </si>
  <si>
    <r>
      <t>% de cumplimiento en las r</t>
    </r>
    <r>
      <rPr>
        <sz val="9"/>
        <rFont val="Calibri"/>
        <family val="2"/>
      </rPr>
      <t xml:space="preserve">espuesta en términos de ley a las solicitudes relacionadas </t>
    </r>
    <r>
      <rPr>
        <sz val="9"/>
        <color indexed="8"/>
        <rFont val="Calibri"/>
        <family val="2"/>
      </rPr>
      <t>con situaciones administrativas</t>
    </r>
  </si>
  <si>
    <t>Cumplir con los términos de ley para atender los requerimientos sobre situaciones administrativas, la meta trimestral es el 100% de las solicitudes recibidas</t>
  </si>
  <si>
    <t>Registros de ingreso y salida de situaciones administrativas al Grupo Gestión del Talento Humano</t>
  </si>
  <si>
    <t>No. de requerimientos atendidos en términos de ley</t>
  </si>
  <si>
    <t>No. de requerimientos recibidos</t>
  </si>
  <si>
    <r>
      <rPr>
        <sz val="9"/>
        <color theme="1"/>
        <rFont val="Calibri"/>
        <family val="2"/>
        <scheme val="minor"/>
      </rPr>
      <t>Medir el % de satisfacción frente al clima laboral para tener una línea de base e intervenir</t>
    </r>
    <r>
      <rPr>
        <u/>
        <sz val="9"/>
        <color indexed="12"/>
        <rFont val="Calibri"/>
        <family val="2"/>
        <scheme val="minor"/>
      </rPr>
      <t xml:space="preserve">
Ver Plan Estratégico de Talento Humano</t>
    </r>
  </si>
  <si>
    <t>% de satisfacción frente al clima laboral (Obj 4)</t>
  </si>
  <si>
    <t>Medir el nivel de clima laboral de la entidad</t>
  </si>
  <si>
    <t>Encuestas de medición de clima laboral aplicadas a funcionarios y contratistas de la ANM</t>
  </si>
  <si>
    <t>Último día del tercer trimestre (septiembre)</t>
  </si>
  <si>
    <t>% de percepción obtenida frente al clima laboral</t>
  </si>
  <si>
    <t>% de percepción esperada frente al clima laboral</t>
  </si>
  <si>
    <t>Realizar seguimiento al cumplimiento del Riesgo Psicosocial</t>
  </si>
  <si>
    <t>% de cumplimiento del Plan de intervención de riesgo psicosocial (Obj 4)</t>
  </si>
  <si>
    <t>Dar cumplimiento a minimo el 100% del plan de trabajo en la parte psicosocial (Ver cronograma)</t>
  </si>
  <si>
    <t>Plan  de trabajo anual en SST</t>
  </si>
  <si>
    <t>Nº de actividades desarrolladas en la parte psicosocial</t>
  </si>
  <si>
    <t xml:space="preserve"> Nº de actvidades programadas</t>
  </si>
  <si>
    <t>Cumplir con el Programa de Prevención de Accidentes y efermedades laborales</t>
  </si>
  <si>
    <t>Severidad de los accidentes laborales (Obj 5)</t>
  </si>
  <si>
    <t>Mantener los accidentes laborales que se puedan presentar bajo la categoria de leves.
Severidad de los accidentes laborales esperada max del 4,22</t>
  </si>
  <si>
    <t>Cuadro de indicadores del SG SST</t>
  </si>
  <si>
    <t>100% DE PROGRAMADO</t>
  </si>
  <si>
    <t>Severidad de los accidentes laborales obtenida = ((Nº de días perdidos por accidente laboral en el periodo + Nº de días cargados en el periodo)/Horas hombre trabajadas en el periodo x 240,000)</t>
  </si>
  <si>
    <t>Severidad de los accidentes laborales esperada max</t>
  </si>
  <si>
    <t>Frecuencia de los accidentes laborales (Obj 5)</t>
  </si>
  <si>
    <t>Mantener la ocurrencia de los accidentes inferior a 10 en el año
Frecuencia de los accidentes laborales max esperado 1,41</t>
  </si>
  <si>
    <t>Frecuencia de los accidentes laborales = (Nº de accidente laboral en el periodo / Horas hombre trabajadas en el periodo x 240,000)</t>
  </si>
  <si>
    <t>Frecuencia de los accidentes laborales maximos esperados</t>
  </si>
  <si>
    <r>
      <rPr>
        <sz val="9"/>
        <color theme="1"/>
        <rFont val="Calibri"/>
        <family val="2"/>
        <scheme val="minor"/>
      </rPr>
      <t>Realizar campañas de difusión de pedagogía para el conocimiento de la política de paz y reconciliación</t>
    </r>
    <r>
      <rPr>
        <u/>
        <sz val="9"/>
        <color indexed="12"/>
        <rFont val="Calibri"/>
        <family val="2"/>
        <scheme val="minor"/>
      </rPr>
      <t xml:space="preserve">
Ver Plan Institucional de Capacitación</t>
    </r>
  </si>
  <si>
    <t>% de cumplimiento de campañas en pedagogía de paz</t>
  </si>
  <si>
    <t>Realizar difusión de pedagogía para el conocimiento de la política de paz y reconciliación dirigida a los funcionarios y contratistas bajo los lineamientos del Departamento Administrativo de la Función Pública y la Oficina del Alto Comisionado para la Paz</t>
  </si>
  <si>
    <t>Registro de campañas de pedagogía de paz realizadas</t>
  </si>
  <si>
    <t>No. de campañas en pedagogía de paz realizadas</t>
  </si>
  <si>
    <t>No. de campañas en pedagogía de paz programadas</t>
  </si>
  <si>
    <t>Publicar y socializar los procedimientos relacionados con el proceso de gestión del talento humano del sistema integrado de gestión revisados y actualizados</t>
  </si>
  <si>
    <t>% de cumplimiento de publicación y socialización de procedimientos</t>
  </si>
  <si>
    <t>Garantizar dentro del proceso de mejora continua, la revisión, publicación y socialización de los procedimientos del proceso de GTH que se identifique requieran ajuste con base en los lineamientos de ley y de la alta dirección: 1. Vinculación y retiro laboral, 2. Capacitación, 3. Seguridad y salud en el trabajo, 4. Bienestar e incentivos, 5. Nómina y prestaciones sociales, 6. evaluación del desempeño, 7. Gestión de situaciones administrativas, 8. Investigación de incidente y accidente de trabajo, 9. Procedimiento para la continua identificación de peligros, la evaluación de riesgos, 10. Exámenes médicos ocupacionales y archivo de historias clínicas, 11. Prevención de accidentes de trabajo y enfermedades laborales.</t>
  </si>
  <si>
    <t>Procedimientos publicados en la plataforma tecnológica dispuesta por la entidad, y socializados con los interesados</t>
  </si>
  <si>
    <t>No. de procedimientos revisados, publicados y socializados</t>
  </si>
  <si>
    <t>No. de procedimientos revisados y actualizados</t>
  </si>
  <si>
    <r>
      <rPr>
        <sz val="9"/>
        <color theme="1"/>
        <rFont val="Calibri"/>
        <family val="2"/>
        <scheme val="minor"/>
      </rPr>
      <t>Ejecutar el presupuesto asignado al Grupo de Gestión del Talento Humano conforme a lo programado en el SIIF y el Plan Anual de Adquisiciones</t>
    </r>
    <r>
      <rPr>
        <u/>
        <sz val="9"/>
        <color indexed="12"/>
        <rFont val="Calibri"/>
        <family val="2"/>
        <scheme val="minor"/>
      </rPr>
      <t xml:space="preserve">
Ver Plan de Previsión de Recursos Humanos</t>
    </r>
  </si>
  <si>
    <t>% de ejecución presupuestal (inversión y funcionamiento)</t>
  </si>
  <si>
    <t>Garantizar la ejecución del presupuesto de la entidad asegún lo acordado en la mensualización del Plan de Adquisiciones</t>
  </si>
  <si>
    <t>Plan anual de adquisiciones 2018 y registros de ejecución del PAC</t>
  </si>
  <si>
    <t>% de ejecución presupuestal de inversión y funcionamiento (SIIF)</t>
  </si>
  <si>
    <t>% de programación presupuestal de inversión y funcionamiento (plan anual de adquisiciones)</t>
  </si>
  <si>
    <t xml:space="preserve"> </t>
  </si>
  <si>
    <t xml:space="preserve">Fortalecer la Gestión Jurídica de la ANM </t>
  </si>
  <si>
    <t>Contestar el 100% de las las demandas y acciones constitucionales notificadas a  la ANM dentro del término de Ley</t>
  </si>
  <si>
    <t>% Contestaciones de demandas notificadas dentro del término de Ley</t>
  </si>
  <si>
    <t>Inicia con la notificación oficial de la demanda a la ANM finalizando con la contestación dentro del término</t>
  </si>
  <si>
    <t>Base de datos: Seguimiento procesos/ expendiente de cada proceso/ ekogui</t>
  </si>
  <si>
    <t xml:space="preserve">No. de demandas y acciones constitucionales contestadas dentro del término de Ley </t>
  </si>
  <si>
    <t xml:space="preserve">Oficina Asesora Jurídica
Coordinador Defensa jurídica </t>
  </si>
  <si>
    <t xml:space="preserve">Oficina Asesora Jurídica
Coordinador Defensa jurídica, Grupo de Defensa Jurídica </t>
  </si>
  <si>
    <t>Total de demandas y acciones constitucionales notificadas</t>
  </si>
  <si>
    <t>Fallos ejecutoriados a favor de la entidad</t>
  </si>
  <si>
    <t>% Fallos favorables</t>
  </si>
  <si>
    <t xml:space="preserve">Inicia desde la notificación de la acción a la ANM hasta la culminación del trámite procesal. 
Es de resaltar que las gestiones emprendidas por el apoderado no garantizan el resultado favorable de los fallos de la entidad, de conformidad con el artículo 18 del Código Disciplinario del Abogado. </t>
  </si>
  <si>
    <t>Total de Fallos ejecutoriados a favor de la Entidad</t>
  </si>
  <si>
    <t>Total de fallos ejecutoriados</t>
  </si>
  <si>
    <t>Interposición de recursos ordinarios y/o extraordinarios contra sentencias proferidas en contra de la ANM dentro del término legal</t>
  </si>
  <si>
    <t>% de recursos presentados en términos contra las sentencias en contra de la ANM</t>
  </si>
  <si>
    <t xml:space="preserve">inicia desde notificación de la sentencia en primera instancia  y termina con la radicación del recurso ante el correspondiente despacho </t>
  </si>
  <si>
    <t>Base de datos: Seguimiento procesos/ expendiente de cada proceso</t>
  </si>
  <si>
    <t xml:space="preserve"> Total de recursos presentados en términos</t>
  </si>
  <si>
    <t>Total de fallos de primera instancia notificados en contra de la ANM</t>
  </si>
  <si>
    <t xml:space="preserve">Asistir a las diligencias judiciales y extrajudiciales a las cuales se citan .. Representar jud y extr los intere de la anm </t>
  </si>
  <si>
    <t xml:space="preserve">% de cumplimiento en asistencia a diligencias judiciales y extrajudiciales </t>
  </si>
  <si>
    <t xml:space="preserve">Inicia con la notificación de la diligencia y termina con el acta de la diligencia </t>
  </si>
  <si>
    <t xml:space="preserve">No. de diligencias asistidas en representación judical y extrajudical de la ANM </t>
  </si>
  <si>
    <t xml:space="preserve">No. de diligencias notificadas a la ANM </t>
  </si>
  <si>
    <t>Contestar solicitudes  internas (toda solicitud que realice cualquier area de la entidad) dentro del término de ley</t>
  </si>
  <si>
    <t>% Oportunidad en el trámite de solicitudes internas</t>
  </si>
  <si>
    <t>Inicia con la identificación de las solicitudes internas allegadas a la Oficina Asesora Juridica, y la atención oportuna teniendo en cuenta el cumplimiento de los terminos de ley</t>
  </si>
  <si>
    <t>Base de datos de la Oficina Asesora Jurídica - Asesoría Base de Datos Conceptos OAJ</t>
  </si>
  <si>
    <t>Solicitudes internas atendidos oportunamente</t>
  </si>
  <si>
    <t xml:space="preserve">Oficina Asesora Jurídica
</t>
  </si>
  <si>
    <t>Total de Solicitudes internas notificadas</t>
  </si>
  <si>
    <t>Contestar solicitudes  externas (derechos de petición, solicitudes de despachos y entes de control) dentro del término previsto en la ley</t>
  </si>
  <si>
    <t>% Oportunidad en el trámite de solicitudes externas</t>
  </si>
  <si>
    <t xml:space="preserve">Inicia con la identificacion de las solicitudes externas allegadas a la Oficina Asesora Juridica, y la atención oportuna teniendo en cuenta el cumplimiento de los terminos de ley </t>
  </si>
  <si>
    <t>Solicitudes externas atendidas oportunamente</t>
  </si>
  <si>
    <t>Total de Solicitudes externas notificadas</t>
  </si>
  <si>
    <t>Garantizar dentro del proceso de mejora continua, la revisión y ajuste de los procedimientos que se identifique requieran ajuste con base en los linemientos de Ley y los lineamientos de la alta dirección
GESTIÓN FINANCIERA (1. Cobro Coactivo)
GESTIÓN JURÍDICA (1. Asesoría Juridica, Defensa Judicial y  Elaboración y/o actualización del normograma)</t>
  </si>
  <si>
    <t>Control Docuemntal Planeación y archivo: Capeta de   Planeación de la OAJ</t>
  </si>
  <si>
    <t>Oficina Asesora Jurídica
Coordinador Defensa jurídica , Coordinador Cobro Coactivo</t>
  </si>
  <si>
    <t xml:space="preserve">Oficina Asesora Jurídica Coordinador Cobro Coactivo, Grupo de Cobro Coactivo,
Coordinador Defensa jurídica, Grupo de Defensa Jurídica </t>
  </si>
  <si>
    <t>Estructurar e implementar el sistema de gestión documental efectivo</t>
  </si>
  <si>
    <t>Garantizar la conservación y organización de la información documentada de la entidad para su acceso oportuno conforme a la normatividad archivística vigente</t>
  </si>
  <si>
    <r>
      <rPr>
        <sz val="9"/>
        <color theme="1"/>
        <rFont val="Calibri"/>
        <family val="2"/>
        <scheme val="minor"/>
      </rPr>
      <t xml:space="preserve">Implementar el Programa de Gestión Documental
1. Integración al Programa de Auditoría y Control, las auditorías en Gestión Documental e Integración al Plan Institucional de Capacitación las de Gestión Documental 25%
2.  Programa de Descripción Documental  25%
3. Elaboración Programa de archivos descentralizados 25%
4.  Programa de Documentos Especiales 25%
</t>
    </r>
    <r>
      <rPr>
        <u/>
        <sz val="9"/>
        <color indexed="12"/>
        <rFont val="Calibri"/>
        <family val="2"/>
        <scheme val="minor"/>
      </rPr>
      <t xml:space="preserve">
Ver Plan Institucional de Archivos de la Entidad ­PINAR</t>
    </r>
  </si>
  <si>
    <t>% Avance Implementación del Programa de Gestión Documental. (PGD)</t>
  </si>
  <si>
    <t>La presente vigencia corresponde al quinto año de avance en la implementación del Programa de Gestión Documental para el cumplimiento de uno de los objetivos estratégicos, con un plazo de 10 años.</t>
  </si>
  <si>
    <t>% de cumplimiento de acciones ejecutadas / % de cumplimiento de acciones programadas</t>
  </si>
  <si>
    <t>Actas de Reunión
Procedimientos</t>
  </si>
  <si>
    <t>% de cumplimiento de acciones ejecutadas</t>
  </si>
  <si>
    <t>% de cumplimiento de acciones programadas</t>
  </si>
  <si>
    <t xml:space="preserve">
1.Revisión  y actualización de los documentos de conservación física existentes 25%
2. Elaboración Itém relacionado con el Sistema de Gestión en  Seguridad y Salud en el Trabajo 25%
3.  Revisión componentes de conservación relacionados con el Sistema de Gestión de  Seguridad de la Información 25 %
4. Elaboración Documento  25%
</t>
  </si>
  <si>
    <t>% Elaboración  Plan Integral de Conservación articulado con el Sistema de Gestión en Seguridad y Salud en el Trabajo y Sistema de Gestión  de Seguridad de la Información</t>
  </si>
  <si>
    <t>En la presente vigencia se desarrolla la alineación del Sistema Integrado de Conservación con el Sistema de Gestión de Seguridad de la Información, el Sistema de Gestión Ambiental y el Sistema de Seguridad y Salud en el Trabajo evidenciado en el Plan de Conservación para la ANM</t>
  </si>
  <si>
    <t>Actas de Reunión
Procedimientos
Diagnósticos
Diag</t>
  </si>
  <si>
    <t xml:space="preserve">EVALUACION, CONTROL Y MEJORA </t>
  </si>
  <si>
    <t xml:space="preserve">EVALUACIÓN, CONTROL Y MEJORA </t>
  </si>
  <si>
    <t>Mejorar la gestión de evaluación y control del Modelo Integrado de Planficiacon y Gestion MiPG</t>
  </si>
  <si>
    <t xml:space="preserve">Adelantar las evaluaciones y seguinientos programados dentro del Programa Anual de Auditoria </t>
  </si>
  <si>
    <t xml:space="preserve">% Avance en la ejecución de evaluaciones y seguimiento  </t>
  </si>
  <si>
    <t>Auditorias aprobadas en el Plan Anual de Auditoria por el Comité Instituicional de Control Interno</t>
  </si>
  <si>
    <t>Informes</t>
  </si>
  <si>
    <t xml:space="preserve">ACUMULADO DURANTE CADA PERIODO </t>
  </si>
  <si>
    <t xml:space="preserve">Evaluaciones y seguimientos ejecutados </t>
  </si>
  <si>
    <t>Oficina de Control Interno</t>
  </si>
  <si>
    <t>Evaluaciones y seguimientos programados</t>
  </si>
  <si>
    <t xml:space="preserve">% Avance en la ejecución de informes de ley </t>
  </si>
  <si>
    <t xml:space="preserve">Informes de Ley a cargo de la OCI e incluidos  en el Plan Anual de Auditoria </t>
  </si>
  <si>
    <t>Tabla control de informes</t>
  </si>
  <si>
    <t>Informes de Ley Ejecutados</t>
  </si>
  <si>
    <t>Informes de Ley Programados</t>
  </si>
  <si>
    <t xml:space="preserve">Índice Neto de Percepción= INP
Porcentaje de percepcion igual o mayor a 75% en jornadas de sensibilizacion en jornadas de sensibillización </t>
  </si>
  <si>
    <t>Realización de encuestas de percepción en los eventos de auditoría y en los demás aprobadas en el Plan Anual de Auditoria
(*) Donde
A= es el número de respuestas para Muy Insatisfecho
B= es el número de respuestas para Insatisfecho
C= es el número de respuestas para Neutro
D= es el número de respuestas para Satisfecho
E= es el número de respuestas para Muy Satisfecho
N= Es la suma de todas las anteriores (A+B+C+D+E)</t>
  </si>
  <si>
    <t>Encuestas</t>
  </si>
  <si>
    <t>Diembre 31 de 2018</t>
  </si>
  <si>
    <t>(A*0)+(B*25)+(C*50)+(D*75)+(E*100)</t>
  </si>
  <si>
    <t>N (*)</t>
  </si>
  <si>
    <t xml:space="preserve">Brindar un valor agregado a la organización mediante la asesoría permanente y la formulación de recomendaciones con alcance preventivo </t>
  </si>
  <si>
    <t xml:space="preserve">% Avance en la ejecución de las asesorias y acompñamiento a las proyectos estratgeicos de la Entidad </t>
  </si>
  <si>
    <t>Se realizaran asesorias y acompañamientos a los proyectos estrategicos institucionales de la entidad contenidos en el Plan Anual de Auditoria</t>
  </si>
  <si>
    <t>Ultimo dia del semestre (jun y Dic)</t>
  </si>
  <si>
    <t>Asesorías Ejecutadas</t>
  </si>
  <si>
    <t>Asesorías Programadas</t>
  </si>
  <si>
    <r>
      <t xml:space="preserve">Garantizar dentro del proceso de mejora continua, la revisión, ajuste y publicación de los procedimientos que se identifique requieran actualización con base en los lineamientos de Ley y los lineamientos de la alta dirección.
</t>
    </r>
    <r>
      <rPr>
        <b/>
        <sz val="9"/>
        <color indexed="8"/>
        <rFont val="Calibri"/>
        <family val="2"/>
      </rPr>
      <t>EVALUACIÓN, CONTROL Y MEJORA</t>
    </r>
    <r>
      <rPr>
        <sz val="9"/>
        <color indexed="8"/>
        <rFont val="Calibri"/>
        <family val="2"/>
      </rPr>
      <t xml:space="preserve"> (1. Auditorías internas, 2. Fomento de la cultura de autocontrol, 3. Acciones correctivas, preventivas y de mejora, 4. Evaluación del plan de tratamiento de riesgos, y 5. Relación con entes externos de vigilancia y control)</t>
    </r>
  </si>
  <si>
    <t>Procediminetos publicados</t>
  </si>
  <si>
    <t>Mejorar la gestión de la Entidad, facilitando herramientas y metodologias</t>
  </si>
  <si>
    <t xml:space="preserve">Implementar y mantener el SIG para mejorar la operación de la entidad
(Incluye la </t>
  </si>
  <si>
    <t>% de cumplimiento de la revisión y actulización de los procedimientos del área</t>
  </si>
  <si>
    <t xml:space="preserve">Incluye la identificación los procedimientos del área de Planeación y su respectiva  mejora, actualización y ajuste, según sea identificado. </t>
  </si>
  <si>
    <t>Procedimientos Publicados / Aydas de Memoria</t>
  </si>
  <si>
    <t>Procedimientos revisados y actualizados</t>
  </si>
  <si>
    <t>Procediminetos programados</t>
  </si>
  <si>
    <t xml:space="preserve">% de cumplimiento en la implementar y mantenimiento del SIG </t>
  </si>
  <si>
    <t>Ejecución del Plan de trabajo para la implementación y mantenimiento del SIG</t>
  </si>
  <si>
    <t>Seguimiento del Plan de Trabajo / Listas de Asistencia</t>
  </si>
  <si>
    <t>Plan de Trabajo ejecutado</t>
  </si>
  <si>
    <t>Plan de Trabajo programado</t>
  </si>
  <si>
    <t>Realizar verificaciones y retroalimentación a la totalidad a los indicadores de la ANM</t>
  </si>
  <si>
    <t>% cumplimiento del plan de verificación y retroalimentación de los indicadores de la ANM</t>
  </si>
  <si>
    <t>Revisión y reporte de alertas tempranas frente al cumplimiento de los indicadores reportados por los responsables de cada Proceso</t>
  </si>
  <si>
    <t>Ayudas de Memoria / Listas de Asistencia</t>
  </si>
  <si>
    <t>No. de verificaciones de indicadores realizadas</t>
  </si>
  <si>
    <t>No. de verificaciones programadas</t>
  </si>
  <si>
    <t>Fomentar la transferencia del conocimiento</t>
  </si>
  <si>
    <t xml:space="preserve">Gestionar todas las acciones necesarias tendientes al fortalecimiento del conocimiento </t>
  </si>
  <si>
    <t>% de cumplimineto de actividades realizadas en temas y herramientas del SIG</t>
  </si>
  <si>
    <t xml:space="preserve">Ejecución de actividades en temas relacionados al SIG para el fortalecimiento del conocimiento de los funcionarios y contratistas. </t>
  </si>
  <si>
    <t>Listas de Asistencia</t>
  </si>
  <si>
    <t>No. de actividades realizadas en temas y herramientas del SIG</t>
  </si>
  <si>
    <t>No. de actividades programadas</t>
  </si>
  <si>
    <t>No. INDICADORES
PROGRAMADOS POR TRIMESTRE</t>
  </si>
  <si>
    <t>DATOS MES</t>
  </si>
  <si>
    <t>DATOS ACUMULADO</t>
  </si>
  <si>
    <t>EJECUTADO</t>
  </si>
  <si>
    <t>PROGRAMADO</t>
  </si>
  <si>
    <t>% CUMPLIMIENTO</t>
  </si>
  <si>
    <t>CON PONDERACIÓN</t>
  </si>
  <si>
    <t>PROMEDIO SIMPLE</t>
  </si>
  <si>
    <t>100%/3</t>
  </si>
  <si>
    <t xml:space="preserve">Se quiere asegurar que la totalidad de los títulos mineros vigentes tienen al menos una evaluación documental. Los títulos vigentes a 31-12-2017 son 6.987. Sin embargo la cifra será actualizada trimestralmente ya que los titulos vigentes objeto de fiscalización cambian en el tiempo debido a las anotaciones o desanotaciones del registro minero producidos por nuevos títulos, por terminación del título o fallo judicial. </t>
  </si>
  <si>
    <t xml:space="preserve"> Número de títulos programado en el periodo</t>
  </si>
  <si>
    <t>100% = $4.010.000.000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</si>
</sst>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0_-;\-* #,##0_-;_-* &quot;-&quot;_-;_-@_-"/>
    <numFmt numFmtId="44" formatCode="_-&quot;$&quot;* #,##0.00_-;\-&quot;$&quot;* #,##0.00_-;_-&quot;$&quot;* &quot;-&quot;??_-;_-@_-"/>
    <numFmt numFmtId="43" formatCode="_-* #,##0.00_-;\-* #,##0.00_-;_-* &quot;-&quot;??_-;_-@_-"/>
    <numFmt numFmtId="164" formatCode="[$$-2C0A]#,##0"/>
    <numFmt numFmtId="165" formatCode="_(* #,##0_);_(* \(#,##0\);_(* &quot;-&quot;??_);_(@_)"/>
    <numFmt numFmtId="166" formatCode="0.0%"/>
    <numFmt numFmtId="167" formatCode="_(* #,##0.0_);_(* \(#,##0.0\);_(* &quot;-&quot;??_);_(@_)"/>
    <numFmt numFmtId="168" formatCode="0.0"/>
    <numFmt numFmtId="169" formatCode="[$$-240A]#,##0"/>
    <numFmt numFmtId="170" formatCode="&quot;$&quot;\ #,##0"/>
    <numFmt numFmtId="171" formatCode="_(&quot;$&quot;\ * #,##0.00_);_(&quot;$&quot;\ * \(#,##0.00\);_(&quot;$&quot;\ * &quot;-&quot;??_);_(@_)"/>
    <numFmt numFmtId="172" formatCode="_(&quot;$&quot;\ * #,##0_);_(&quot;$&quot;\ * \(#,##0\);_(&quot;$&quot;\ * &quot;-&quot;??_);_(@_)"/>
    <numFmt numFmtId="173" formatCode="_(&quot;$&quot;\ * #,##0.0_);_(&quot;$&quot;\ * \(#,##0.0\);_(&quot;$&quot;\ * &quot;-&quot;??_);_(@_)"/>
    <numFmt numFmtId="174" formatCode="_-&quot;$&quot;* #,##0_-;\-&quot;$&quot;* #,##0_-;_-&quot;$&quot;* &quot;-&quot;??_-;_-@_-"/>
    <numFmt numFmtId="175" formatCode="0.000%"/>
    <numFmt numFmtId="176" formatCode="_(* #,##0.00_);_(* \(#,##0.00\);_(* &quot;-&quot;??_);_(@_)"/>
  </numFmts>
  <fonts count="68" x14ac:knownFonts="1">
    <font>
      <sz val="11"/>
      <color theme="1"/>
      <name val="Calibri"/>
      <family val="2"/>
      <scheme val="minor"/>
    </font>
    <font>
      <sz val="11"/>
      <color theme="1"/>
      <name val="Calibri"/>
      <family val="2"/>
      <scheme val="minor"/>
    </font>
    <font>
      <sz val="10"/>
      <name val="Arial"/>
      <family val="2"/>
    </font>
    <font>
      <b/>
      <sz val="7"/>
      <color theme="1"/>
      <name val="Calibri"/>
      <family val="2"/>
      <scheme val="minor"/>
    </font>
    <font>
      <b/>
      <sz val="7"/>
      <color theme="8" tint="0.3999755851924192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sz val="9"/>
      <color rgb="FF00B050"/>
      <name val="Calibri"/>
      <family val="2"/>
      <scheme val="minor"/>
    </font>
    <font>
      <b/>
      <sz val="26"/>
      <color rgb="FF00B050"/>
      <name val="Calibri"/>
      <family val="2"/>
      <scheme val="minor"/>
    </font>
    <font>
      <sz val="18"/>
      <color theme="1"/>
      <name val="Calibri"/>
      <family val="2"/>
      <scheme val="minor"/>
    </font>
    <font>
      <sz val="7"/>
      <color theme="1"/>
      <name val="Calibri"/>
      <family val="2"/>
      <scheme val="minor"/>
    </font>
    <font>
      <sz val="7"/>
      <color theme="8" tint="0.39997558519241921"/>
      <name val="Calibri"/>
      <family val="2"/>
      <scheme val="minor"/>
    </font>
    <font>
      <sz val="12"/>
      <color theme="1"/>
      <name val="Calibri"/>
      <family val="2"/>
      <scheme val="minor"/>
    </font>
    <font>
      <b/>
      <sz val="9"/>
      <color rgb="FFFF99FF"/>
      <name val="Calibri"/>
      <family val="2"/>
      <scheme val="minor"/>
    </font>
    <font>
      <b/>
      <sz val="9"/>
      <color theme="8" tint="0.3999755851924192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u/>
      <sz val="7.5"/>
      <color indexed="12"/>
      <name val="Arial"/>
      <family val="2"/>
    </font>
    <font>
      <sz val="8"/>
      <color rgb="FFFF99FF"/>
      <name val="Calibri"/>
      <family val="2"/>
      <scheme val="minor"/>
    </font>
    <font>
      <sz val="8"/>
      <color theme="8" tint="0.39997558519241921"/>
      <name val="Calibri"/>
      <family val="2"/>
      <scheme val="minor"/>
    </font>
    <font>
      <u/>
      <sz val="10"/>
      <color theme="1"/>
      <name val="Calibri"/>
      <family val="2"/>
      <scheme val="minor"/>
    </font>
    <font>
      <sz val="7.5"/>
      <color theme="1"/>
      <name val="Arial"/>
      <family val="2"/>
    </font>
    <font>
      <sz val="6"/>
      <color theme="1"/>
      <name val="Calibri"/>
      <family val="2"/>
      <scheme val="minor"/>
    </font>
    <font>
      <b/>
      <sz val="12"/>
      <color rgb="FFFF0000"/>
      <name val="Calibri"/>
      <family val="2"/>
      <scheme val="minor"/>
    </font>
    <font>
      <b/>
      <sz val="10"/>
      <color rgb="FFFF99FF"/>
      <name val="Calibri"/>
      <family val="2"/>
      <scheme val="minor"/>
    </font>
    <font>
      <b/>
      <sz val="10"/>
      <color theme="8" tint="0.39997558519241921"/>
      <name val="Calibri"/>
      <family val="2"/>
      <scheme val="minor"/>
    </font>
    <font>
      <b/>
      <u/>
      <sz val="10"/>
      <color theme="1"/>
      <name val="Calibri"/>
      <family val="2"/>
      <scheme val="minor"/>
    </font>
    <font>
      <b/>
      <i/>
      <sz val="22"/>
      <color theme="1"/>
      <name val="Calibri"/>
      <family val="2"/>
      <scheme val="minor"/>
    </font>
    <font>
      <b/>
      <i/>
      <sz val="14"/>
      <color theme="1"/>
      <name val="Calibri"/>
      <family val="2"/>
      <scheme val="minor"/>
    </font>
    <font>
      <sz val="8"/>
      <color theme="0"/>
      <name val="Calibri"/>
      <family val="2"/>
      <scheme val="minor"/>
    </font>
    <font>
      <b/>
      <sz val="9"/>
      <color theme="1"/>
      <name val="Calibri"/>
      <family val="2"/>
      <scheme val="minor"/>
    </font>
    <font>
      <b/>
      <sz val="5"/>
      <color theme="1"/>
      <name val="Calibri"/>
      <family val="2"/>
      <scheme val="minor"/>
    </font>
    <font>
      <sz val="10"/>
      <color theme="8" tint="0.39997558519241921"/>
      <name val="Calibri"/>
      <family val="2"/>
      <scheme val="minor"/>
    </font>
    <font>
      <b/>
      <sz val="10"/>
      <name val="Calibri"/>
      <family val="2"/>
      <scheme val="minor"/>
    </font>
    <font>
      <b/>
      <sz val="16"/>
      <color theme="1"/>
      <name val="Calibri"/>
      <family val="2"/>
      <scheme val="minor"/>
    </font>
    <font>
      <b/>
      <sz val="6"/>
      <color theme="1"/>
      <name val="Calibri"/>
      <family val="2"/>
      <scheme val="minor"/>
    </font>
    <font>
      <sz val="9"/>
      <color theme="8" tint="0.39997558519241921"/>
      <name val="Calibri"/>
      <family val="2"/>
      <scheme val="minor"/>
    </font>
    <font>
      <b/>
      <sz val="9"/>
      <name val="Calibri"/>
      <family val="2"/>
      <scheme val="minor"/>
    </font>
    <font>
      <u/>
      <sz val="9"/>
      <color indexed="12"/>
      <name val="Calibri"/>
      <family val="2"/>
      <scheme val="minor"/>
    </font>
    <font>
      <sz val="9"/>
      <name val="Calibri"/>
      <family val="2"/>
      <scheme val="minor"/>
    </font>
    <font>
      <sz val="20"/>
      <color theme="1"/>
      <name val="Calibri"/>
      <family val="2"/>
      <scheme val="minor"/>
    </font>
    <font>
      <sz val="9"/>
      <color indexed="10"/>
      <name val="Calibri"/>
      <family val="2"/>
    </font>
    <font>
      <sz val="14"/>
      <color theme="8" tint="0.39997558519241921"/>
      <name val="Calibri"/>
      <family val="2"/>
      <scheme val="minor"/>
    </font>
    <font>
      <u/>
      <sz val="9"/>
      <color indexed="12"/>
      <name val="Calibri "/>
    </font>
    <font>
      <sz val="9"/>
      <color theme="1"/>
      <name val="Calibri "/>
    </font>
    <font>
      <sz val="9"/>
      <color rgb="FFC00000"/>
      <name val="Calibri"/>
      <family val="2"/>
      <scheme val="minor"/>
    </font>
    <font>
      <u/>
      <sz val="9"/>
      <color theme="1"/>
      <name val="Calibri"/>
      <family val="2"/>
      <scheme val="minor"/>
    </font>
    <font>
      <b/>
      <sz val="9"/>
      <color theme="1"/>
      <name val="Calibri"/>
      <family val="2"/>
    </font>
    <font>
      <b/>
      <sz val="9"/>
      <color indexed="8"/>
      <name val="Calibri"/>
      <family val="2"/>
    </font>
    <font>
      <b/>
      <sz val="8"/>
      <name val="Calibri"/>
      <family val="2"/>
      <scheme val="minor"/>
    </font>
    <font>
      <b/>
      <sz val="9"/>
      <name val="Calibri"/>
      <family val="2"/>
    </font>
    <font>
      <sz val="9"/>
      <name val="Calibri"/>
      <family val="2"/>
    </font>
    <font>
      <sz val="10"/>
      <color rgb="FF00B050"/>
      <name val="Calibri"/>
      <family val="2"/>
      <scheme val="minor"/>
    </font>
    <font>
      <sz val="9"/>
      <color theme="1" tint="4.9989318521683403E-2"/>
      <name val="Calibri"/>
      <family val="2"/>
      <scheme val="minor"/>
    </font>
    <font>
      <i/>
      <sz val="9"/>
      <color theme="1"/>
      <name val="Calibri"/>
      <family val="2"/>
      <scheme val="minor"/>
    </font>
    <font>
      <sz val="9"/>
      <color theme="0"/>
      <name val="Calibri"/>
      <family val="2"/>
      <scheme val="minor"/>
    </font>
    <font>
      <sz val="9"/>
      <color indexed="8"/>
      <name val="Calibri"/>
      <family val="2"/>
    </font>
    <font>
      <sz val="9"/>
      <color rgb="FF000000"/>
      <name val="Calibri"/>
      <family val="2"/>
      <scheme val="minor"/>
    </font>
    <font>
      <b/>
      <sz val="9"/>
      <color rgb="FF00B050"/>
      <name val="Calibri"/>
      <family val="2"/>
      <scheme val="minor"/>
    </font>
    <font>
      <b/>
      <sz val="6.5"/>
      <color theme="1"/>
      <name val="Calibri"/>
      <family val="2"/>
      <scheme val="minor"/>
    </font>
    <font>
      <b/>
      <sz val="10"/>
      <color rgb="FF00B050"/>
      <name val="Calibri"/>
      <family val="2"/>
      <scheme val="minor"/>
    </font>
    <font>
      <sz val="9"/>
      <color indexed="81"/>
      <name val="Tahoma"/>
      <family val="2"/>
    </font>
    <font>
      <b/>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CC0000"/>
        <bgColor indexed="64"/>
      </patternFill>
    </fill>
    <fill>
      <patternFill patternType="solid">
        <fgColor rgb="FFFFCCCC"/>
        <bgColor indexed="64"/>
      </patternFill>
    </fill>
    <fill>
      <patternFill patternType="solid">
        <fgColor rgb="FF9900CC"/>
        <bgColor indexed="64"/>
      </patternFill>
    </fill>
    <fill>
      <patternFill patternType="solid">
        <fgColor rgb="FFFF99FF"/>
        <bgColor indexed="64"/>
      </patternFill>
    </fill>
    <fill>
      <patternFill patternType="solid">
        <fgColor rgb="FF009900"/>
        <bgColor indexed="64"/>
      </patternFill>
    </fill>
    <fill>
      <patternFill patternType="solid">
        <fgColor rgb="FF00FFFF"/>
        <bgColor indexed="64"/>
      </patternFill>
    </fill>
    <fill>
      <patternFill patternType="solid">
        <fgColor rgb="FF99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rgb="FFFFFFCC"/>
        <bgColor indexed="64"/>
      </patternFill>
    </fill>
    <fill>
      <patternFill patternType="solid">
        <fgColor rgb="FF00CC00"/>
        <bgColor indexed="64"/>
      </patternFill>
    </fill>
    <fill>
      <patternFill patternType="solid">
        <fgColor theme="5" tint="0.79998168889431442"/>
        <bgColor indexed="64"/>
      </patternFill>
    </fill>
    <fill>
      <patternFill patternType="solid">
        <fgColor rgb="FF66FFFF"/>
        <bgColor indexed="64"/>
      </patternFill>
    </fill>
    <fill>
      <patternFill patternType="solid">
        <fgColor rgb="FFCCFFCC"/>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249977111117893"/>
        <bgColor indexed="64"/>
      </patternFill>
    </fill>
    <fill>
      <patternFill patternType="solid">
        <fgColor theme="0" tint="-0.14999847407452621"/>
        <bgColor indexed="64"/>
      </patternFill>
    </fill>
  </fills>
  <borders count="38">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rgb="FF000000"/>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22" fillId="0" borderId="0" applyNumberFormat="0" applyFill="0" applyBorder="0" applyAlignment="0" applyProtection="0">
      <alignment vertical="top"/>
      <protection locked="0"/>
    </xf>
    <xf numFmtId="43" fontId="1" fillId="0" borderId="0" applyFont="0" applyFill="0" applyBorder="0" applyAlignment="0" applyProtection="0"/>
    <xf numFmtId="171" fontId="1" fillId="0" borderId="0" applyFont="0" applyFill="0" applyBorder="0" applyAlignment="0" applyProtection="0"/>
    <xf numFmtId="176" fontId="1" fillId="0" borderId="0" applyFont="0" applyFill="0" applyBorder="0" applyAlignment="0" applyProtection="0"/>
  </cellStyleXfs>
  <cellXfs count="1185">
    <xf numFmtId="0" fontId="0" fillId="0" borderId="0" xfId="0"/>
    <xf numFmtId="1" fontId="3" fillId="2" borderId="0" xfId="5" applyNumberFormat="1" applyFont="1" applyFill="1" applyAlignment="1" applyProtection="1">
      <alignment horizontal="center" vertical="center"/>
    </xf>
    <xf numFmtId="1" fontId="4" fillId="2" borderId="0" xfId="5" applyNumberFormat="1" applyFont="1" applyFill="1" applyAlignment="1" applyProtection="1">
      <alignment horizontal="center" vertical="center"/>
    </xf>
    <xf numFmtId="0" fontId="5" fillId="2" borderId="0" xfId="5" applyFont="1" applyFill="1" applyAlignment="1" applyProtection="1">
      <alignment horizontal="center" textRotation="90"/>
    </xf>
    <xf numFmtId="0" fontId="6" fillId="2" borderId="0" xfId="5" applyFont="1" applyFill="1" applyProtection="1"/>
    <xf numFmtId="0" fontId="7" fillId="2" borderId="0" xfId="5" applyFont="1" applyFill="1" applyProtection="1"/>
    <xf numFmtId="0" fontId="7" fillId="2" borderId="0" xfId="5" applyFont="1" applyFill="1" applyAlignment="1" applyProtection="1"/>
    <xf numFmtId="0" fontId="8" fillId="0" borderId="0" xfId="5" applyFont="1" applyFill="1" applyProtection="1"/>
    <xf numFmtId="0" fontId="9" fillId="0" borderId="0" xfId="5" applyFont="1" applyFill="1" applyProtection="1"/>
    <xf numFmtId="0" fontId="7" fillId="0" borderId="0" xfId="5" applyFont="1" applyFill="1" applyProtection="1"/>
    <xf numFmtId="0" fontId="7" fillId="0" borderId="0" xfId="5" applyFont="1" applyFill="1" applyBorder="1" applyProtection="1"/>
    <xf numFmtId="0" fontId="7" fillId="3" borderId="0" xfId="5" applyFont="1" applyFill="1" applyProtection="1"/>
    <xf numFmtId="0" fontId="11" fillId="2" borderId="0" xfId="5" applyFont="1" applyFill="1" applyAlignment="1" applyProtection="1">
      <alignment horizontal="center" textRotation="90"/>
    </xf>
    <xf numFmtId="0" fontId="6" fillId="2" borderId="1" xfId="5" applyFont="1" applyFill="1" applyBorder="1" applyProtection="1"/>
    <xf numFmtId="0" fontId="7" fillId="2" borderId="1" xfId="5" applyFont="1" applyFill="1" applyBorder="1" applyProtection="1"/>
    <xf numFmtId="0" fontId="13" fillId="2" borderId="1" xfId="5" applyFont="1" applyFill="1" applyBorder="1" applyAlignment="1" applyProtection="1">
      <alignment vertical="center" wrapText="1"/>
    </xf>
    <xf numFmtId="0" fontId="8" fillId="0" borderId="1" xfId="5" applyFont="1" applyFill="1" applyBorder="1" applyAlignment="1" applyProtection="1">
      <alignment vertical="center" wrapText="1"/>
    </xf>
    <xf numFmtId="0" fontId="9" fillId="0" borderId="1" xfId="5" applyFont="1" applyFill="1" applyBorder="1" applyAlignment="1" applyProtection="1">
      <alignment vertical="center" wrapText="1"/>
    </xf>
    <xf numFmtId="0" fontId="13" fillId="0" borderId="1" xfId="5" applyFont="1" applyFill="1" applyBorder="1" applyAlignment="1" applyProtection="1">
      <alignment vertical="center" wrapText="1"/>
    </xf>
    <xf numFmtId="1" fontId="14" fillId="2" borderId="0" xfId="5" applyNumberFormat="1" applyFont="1" applyFill="1" applyAlignment="1" applyProtection="1">
      <alignment horizontal="center" vertical="center" wrapText="1"/>
    </xf>
    <xf numFmtId="1" fontId="15" fillId="2" borderId="0" xfId="5" applyNumberFormat="1" applyFont="1" applyFill="1" applyAlignment="1" applyProtection="1">
      <alignment horizontal="center" vertical="center" wrapText="1"/>
    </xf>
    <xf numFmtId="0" fontId="6" fillId="2" borderId="0" xfId="5" applyFont="1" applyFill="1" applyBorder="1" applyProtection="1"/>
    <xf numFmtId="0" fontId="7" fillId="2" borderId="0" xfId="5" applyFont="1" applyFill="1" applyBorder="1" applyProtection="1"/>
    <xf numFmtId="0" fontId="13" fillId="2" borderId="0" xfId="5" applyFont="1" applyFill="1" applyBorder="1" applyAlignment="1" applyProtection="1">
      <alignment vertical="center" wrapText="1"/>
    </xf>
    <xf numFmtId="0" fontId="16" fillId="2" borderId="0" xfId="5" applyFont="1" applyFill="1" applyBorder="1" applyAlignment="1" applyProtection="1">
      <alignment vertical="center" wrapText="1"/>
    </xf>
    <xf numFmtId="0" fontId="8" fillId="0" borderId="0" xfId="5" applyFont="1" applyFill="1" applyBorder="1" applyAlignment="1" applyProtection="1">
      <alignment vertical="center" wrapText="1"/>
    </xf>
    <xf numFmtId="0" fontId="9" fillId="0" borderId="0" xfId="5" applyFont="1" applyFill="1" applyBorder="1" applyAlignment="1" applyProtection="1">
      <alignment vertical="center" wrapText="1"/>
    </xf>
    <xf numFmtId="0" fontId="13" fillId="0" borderId="0" xfId="5" applyFont="1" applyFill="1" applyBorder="1" applyAlignment="1" applyProtection="1">
      <alignment vertical="center" wrapText="1"/>
    </xf>
    <xf numFmtId="0" fontId="19" fillId="2" borderId="0" xfId="5" applyFont="1" applyFill="1" applyAlignment="1" applyProtection="1">
      <alignment horizontal="center" vertical="center"/>
    </xf>
    <xf numFmtId="0" fontId="21" fillId="2" borderId="0" xfId="5" applyFont="1" applyFill="1" applyBorder="1" applyAlignment="1" applyProtection="1">
      <alignment horizontal="left" vertical="center" wrapText="1"/>
    </xf>
    <xf numFmtId="0" fontId="19"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2" borderId="0" xfId="0" applyFont="1" applyFill="1" applyBorder="1" applyAlignment="1" applyProtection="1">
      <alignment vertical="center" wrapText="1"/>
    </xf>
    <xf numFmtId="0" fontId="19" fillId="2" borderId="0" xfId="0" applyFont="1" applyFill="1" applyAlignment="1" applyProtection="1">
      <alignment horizontal="center" vertical="center" wrapText="1"/>
    </xf>
    <xf numFmtId="0" fontId="20" fillId="0" borderId="0" xfId="0" applyFont="1" applyFill="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3" borderId="0" xfId="0" applyFont="1" applyFill="1" applyAlignment="1" applyProtection="1">
      <alignment horizontal="center" vertical="center" wrapText="1"/>
    </xf>
    <xf numFmtId="0" fontId="5" fillId="2" borderId="0" xfId="5" applyFont="1" applyFill="1" applyAlignment="1" applyProtection="1">
      <alignment horizontal="center" vertical="center"/>
    </xf>
    <xf numFmtId="0" fontId="8" fillId="6" borderId="2" xfId="0" applyFont="1" applyFill="1" applyBorder="1" applyAlignment="1" applyProtection="1">
      <alignment horizontal="center" vertical="center" wrapText="1"/>
    </xf>
    <xf numFmtId="0" fontId="8" fillId="7" borderId="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1" fontId="9" fillId="2" borderId="0" xfId="0" applyNumberFormat="1" applyFont="1" applyFill="1" applyBorder="1" applyAlignment="1" applyProtection="1">
      <alignment horizontal="center" vertical="center" wrapText="1"/>
    </xf>
    <xf numFmtId="1" fontId="9" fillId="0" borderId="0" xfId="0" applyNumberFormat="1" applyFont="1" applyFill="1" applyBorder="1" applyAlignment="1" applyProtection="1">
      <alignment horizontal="center" vertical="center" wrapText="1"/>
    </xf>
    <xf numFmtId="0" fontId="6" fillId="2" borderId="0" xfId="0" applyFont="1" applyFill="1" applyBorder="1" applyAlignment="1" applyProtection="1">
      <alignment vertical="center" wrapText="1"/>
    </xf>
    <xf numFmtId="0" fontId="9" fillId="2"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1" fontId="23" fillId="0" borderId="0" xfId="5" applyNumberFormat="1" applyFont="1" applyFill="1" applyAlignment="1" applyProtection="1">
      <alignment horizontal="center" vertical="center"/>
    </xf>
    <xf numFmtId="1" fontId="24" fillId="2" borderId="0" xfId="5" applyNumberFormat="1" applyFont="1" applyFill="1" applyAlignment="1" applyProtection="1">
      <alignment horizontal="center" vertical="center"/>
    </xf>
    <xf numFmtId="9" fontId="8" fillId="6" borderId="2" xfId="0" applyNumberFormat="1" applyFont="1" applyFill="1" applyBorder="1" applyAlignment="1" applyProtection="1">
      <alignment horizontal="center" vertical="center" wrapText="1"/>
    </xf>
    <xf numFmtId="10" fontId="8" fillId="7" borderId="2" xfId="0" applyNumberFormat="1" applyFont="1" applyFill="1" applyBorder="1" applyAlignment="1" applyProtection="1">
      <alignment horizontal="center" vertical="center" wrapText="1"/>
    </xf>
    <xf numFmtId="3" fontId="7" fillId="0" borderId="4" xfId="5" applyNumberFormat="1" applyFont="1" applyFill="1" applyBorder="1" applyAlignment="1" applyProtection="1">
      <alignment horizontal="center" vertical="center" wrapText="1"/>
    </xf>
    <xf numFmtId="1" fontId="9" fillId="0" borderId="4" xfId="0" applyNumberFormat="1" applyFont="1" applyFill="1" applyBorder="1" applyAlignment="1" applyProtection="1">
      <alignment horizontal="center" vertical="center" wrapText="1"/>
    </xf>
    <xf numFmtId="0" fontId="16" fillId="2" borderId="0" xfId="5" applyFont="1" applyFill="1" applyBorder="1" applyAlignment="1" applyProtection="1">
      <alignment horizontal="left" vertical="center" wrapText="1"/>
    </xf>
    <xf numFmtId="0" fontId="26" fillId="0" borderId="0" xfId="6" applyFont="1" applyFill="1" applyBorder="1" applyAlignment="1" applyProtection="1">
      <alignment vertical="center" wrapText="1"/>
    </xf>
    <xf numFmtId="0" fontId="7" fillId="0" borderId="0" xfId="5" applyFont="1" applyFill="1" applyBorder="1" applyAlignment="1" applyProtection="1">
      <alignment horizontal="center" vertical="center" wrapText="1"/>
    </xf>
    <xf numFmtId="9" fontId="9" fillId="2" borderId="0" xfId="0" applyNumberFormat="1" applyFont="1" applyFill="1" applyAlignment="1" applyProtection="1">
      <alignment horizontal="left" vertical="center" wrapText="1"/>
    </xf>
    <xf numFmtId="1" fontId="23" fillId="0" borderId="6" xfId="5" applyNumberFormat="1" applyFont="1" applyFill="1" applyBorder="1" applyAlignment="1" applyProtection="1">
      <alignment horizontal="center" vertical="center"/>
    </xf>
    <xf numFmtId="1" fontId="24" fillId="2" borderId="6" xfId="5" applyNumberFormat="1" applyFont="1" applyFill="1" applyBorder="1" applyAlignment="1" applyProtection="1">
      <alignment horizontal="center" vertical="center"/>
    </xf>
    <xf numFmtId="0" fontId="16" fillId="0" borderId="0" xfId="5" applyFont="1" applyFill="1" applyBorder="1" applyAlignment="1" applyProtection="1">
      <alignment horizontal="left" vertical="center" wrapText="1"/>
    </xf>
    <xf numFmtId="1" fontId="29" fillId="2" borderId="0" xfId="5" applyNumberFormat="1" applyFont="1" applyFill="1" applyAlignment="1" applyProtection="1">
      <alignment horizontal="center" vertical="center"/>
    </xf>
    <xf numFmtId="1" fontId="30" fillId="2" borderId="0" xfId="5" applyNumberFormat="1" applyFont="1" applyFill="1" applyAlignment="1" applyProtection="1">
      <alignment horizontal="center" vertical="center"/>
    </xf>
    <xf numFmtId="0" fontId="5" fillId="2" borderId="0" xfId="5" applyFont="1" applyFill="1" applyBorder="1" applyAlignment="1" applyProtection="1">
      <alignment horizontal="center" vertical="center"/>
    </xf>
    <xf numFmtId="0" fontId="6" fillId="0" borderId="0" xfId="5" applyFont="1" applyFill="1" applyBorder="1" applyAlignment="1" applyProtection="1">
      <alignment horizontal="center" vertical="center" wrapText="1"/>
    </xf>
    <xf numFmtId="1" fontId="6" fillId="2" borderId="0" xfId="5" applyNumberFormat="1" applyFont="1" applyFill="1" applyBorder="1" applyAlignment="1" applyProtection="1">
      <alignment horizontal="center" vertical="center" wrapText="1"/>
    </xf>
    <xf numFmtId="1" fontId="6" fillId="0" borderId="0" xfId="5" applyNumberFormat="1" applyFont="1" applyFill="1" applyBorder="1" applyAlignment="1" applyProtection="1">
      <alignment horizontal="center" vertical="center" wrapText="1"/>
    </xf>
    <xf numFmtId="9" fontId="23" fillId="2" borderId="0" xfId="4" applyFont="1" applyFill="1" applyAlignment="1" applyProtection="1">
      <alignment horizontal="center" vertical="center"/>
    </xf>
    <xf numFmtId="9" fontId="24" fillId="2" borderId="0" xfId="4" applyFont="1" applyFill="1" applyAlignment="1" applyProtection="1">
      <alignment horizontal="center" vertical="center"/>
    </xf>
    <xf numFmtId="0" fontId="27" fillId="2" borderId="0" xfId="5" applyFont="1" applyFill="1" applyBorder="1" applyAlignment="1" applyProtection="1">
      <alignment horizontal="left" vertical="center" wrapText="1"/>
    </xf>
    <xf numFmtId="0" fontId="8" fillId="2" borderId="0" xfId="0" applyFont="1" applyFill="1" applyAlignment="1" applyProtection="1">
      <alignment horizontal="center" vertical="center" wrapText="1"/>
    </xf>
    <xf numFmtId="1" fontId="23" fillId="2" borderId="0" xfId="5" applyNumberFormat="1" applyFont="1" applyFill="1" applyAlignment="1" applyProtection="1">
      <alignment horizontal="center" vertical="center"/>
    </xf>
    <xf numFmtId="0" fontId="31" fillId="2" borderId="0" xfId="6" applyFont="1" applyFill="1" applyBorder="1" applyAlignment="1" applyProtection="1">
      <alignment horizontal="left" vertical="center" wrapText="1"/>
    </xf>
    <xf numFmtId="0" fontId="25" fillId="2" borderId="0" xfId="6" applyFont="1" applyFill="1" applyBorder="1" applyAlignment="1" applyProtection="1">
      <alignment horizontal="left" vertical="center" wrapText="1"/>
    </xf>
    <xf numFmtId="1" fontId="24" fillId="0" borderId="0" xfId="5" applyNumberFormat="1" applyFont="1" applyFill="1" applyAlignment="1" applyProtection="1">
      <alignment horizontal="center" vertical="center"/>
    </xf>
    <xf numFmtId="0" fontId="33" fillId="0" borderId="0" xfId="6" applyFont="1" applyFill="1" applyAlignment="1" applyProtection="1">
      <alignment horizontal="center" vertical="center"/>
    </xf>
    <xf numFmtId="1" fontId="14" fillId="0" borderId="0" xfId="0" applyNumberFormat="1" applyFont="1" applyFill="1" applyAlignment="1" applyProtection="1">
      <alignment horizontal="center" vertical="center" wrapText="1"/>
    </xf>
    <xf numFmtId="1" fontId="15" fillId="0" borderId="0" xfId="0" applyNumberFormat="1" applyFont="1" applyFill="1" applyAlignment="1" applyProtection="1">
      <alignment horizontal="center" vertical="center" wrapText="1"/>
    </xf>
    <xf numFmtId="0" fontId="5" fillId="2" borderId="0" xfId="0" applyFont="1" applyFill="1" applyAlignment="1" applyProtection="1">
      <alignment horizontal="center" vertical="center" textRotation="90" wrapText="1"/>
    </xf>
    <xf numFmtId="0" fontId="6" fillId="2" borderId="0" xfId="0" applyFont="1" applyFill="1" applyAlignment="1" applyProtection="1">
      <alignment horizontal="center" vertical="center" wrapText="1"/>
    </xf>
    <xf numFmtId="9" fontId="9" fillId="2" borderId="0" xfId="0" applyNumberFormat="1" applyFont="1" applyFill="1" applyAlignment="1" applyProtection="1">
      <alignment horizontal="center" vertical="center" wrapText="1"/>
    </xf>
    <xf numFmtId="0" fontId="34" fillId="2"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textRotation="90" wrapText="1"/>
    </xf>
    <xf numFmtId="1" fontId="3" fillId="0" borderId="0" xfId="0" applyNumberFormat="1" applyFont="1" applyFill="1" applyAlignment="1" applyProtection="1">
      <alignment horizontal="center" vertical="center" wrapText="1"/>
    </xf>
    <xf numFmtId="1" fontId="4" fillId="0" borderId="0" xfId="0" applyNumberFormat="1" applyFont="1" applyFill="1" applyAlignment="1" applyProtection="1">
      <alignment horizontal="center" vertical="center" wrapText="1"/>
    </xf>
    <xf numFmtId="0" fontId="35" fillId="0" borderId="0" xfId="0" applyFont="1" applyFill="1" applyAlignment="1" applyProtection="1">
      <alignment horizontal="center" vertical="center" textRotation="90" wrapText="1"/>
    </xf>
    <xf numFmtId="0" fontId="8" fillId="3" borderId="2" xfId="5" applyFont="1" applyFill="1" applyBorder="1" applyAlignment="1" applyProtection="1">
      <alignment horizontal="center" vertical="center" wrapText="1"/>
    </xf>
    <xf numFmtId="9" fontId="8" fillId="3" borderId="2" xfId="5" applyNumberFormat="1"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36" fillId="3" borderId="2" xfId="5" applyFont="1" applyFill="1" applyBorder="1" applyAlignment="1" applyProtection="1">
      <alignment horizontal="center" vertical="center" wrapText="1"/>
    </xf>
    <xf numFmtId="0" fontId="36" fillId="3" borderId="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1" fontId="37" fillId="0" borderId="0" xfId="0" applyNumberFormat="1" applyFont="1" applyFill="1" applyBorder="1" applyAlignment="1" applyProtection="1">
      <alignment horizontal="center" vertical="center" wrapText="1"/>
    </xf>
    <xf numFmtId="10" fontId="7" fillId="15" borderId="2" xfId="5" applyNumberFormat="1" applyFont="1" applyFill="1" applyBorder="1" applyAlignment="1" applyProtection="1">
      <alignment horizontal="center" vertical="center" wrapText="1"/>
    </xf>
    <xf numFmtId="1" fontId="7" fillId="15" borderId="2" xfId="0" applyNumberFormat="1" applyFont="1" applyFill="1" applyBorder="1" applyAlignment="1" applyProtection="1">
      <alignment horizontal="center" vertical="center" wrapText="1"/>
    </xf>
    <xf numFmtId="1" fontId="7" fillId="16" borderId="2" xfId="0" applyNumberFormat="1" applyFont="1" applyFill="1" applyBorder="1" applyAlignment="1" applyProtection="1">
      <alignment horizontal="center" vertical="center" wrapText="1"/>
    </xf>
    <xf numFmtId="0" fontId="7" fillId="0" borderId="0" xfId="0" applyFont="1" applyFill="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3" borderId="0" xfId="0" applyFont="1" applyFill="1" applyAlignment="1" applyProtection="1">
      <alignment horizontal="center" vertical="center" wrapText="1"/>
    </xf>
    <xf numFmtId="10" fontId="7" fillId="2" borderId="2" xfId="5" applyNumberFormat="1" applyFont="1" applyFill="1" applyBorder="1" applyAlignment="1" applyProtection="1">
      <alignment horizontal="center" vertical="center" wrapText="1"/>
    </xf>
    <xf numFmtId="3" fontId="6" fillId="0" borderId="2"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9" fontId="7" fillId="0" borderId="2" xfId="4" applyFont="1" applyBorder="1" applyAlignment="1" applyProtection="1">
      <alignment horizontal="center" vertical="center" wrapText="1"/>
    </xf>
    <xf numFmtId="0" fontId="5" fillId="0" borderId="0" xfId="0" applyFont="1" applyFill="1" applyBorder="1" applyAlignment="1" applyProtection="1">
      <alignment horizontal="center" vertical="center" textRotation="90" wrapText="1"/>
    </xf>
    <xf numFmtId="0" fontId="6" fillId="2" borderId="0" xfId="0" applyFont="1" applyFill="1" applyBorder="1" applyAlignment="1" applyProtection="1">
      <alignment horizontal="center" vertical="center" wrapText="1"/>
    </xf>
    <xf numFmtId="0" fontId="22" fillId="3" borderId="0" xfId="6"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10" fontId="5" fillId="15" borderId="2" xfId="5" applyNumberFormat="1" applyFont="1" applyFill="1" applyBorder="1" applyAlignment="1" applyProtection="1">
      <alignment horizontal="center" vertical="center" wrapText="1"/>
    </xf>
    <xf numFmtId="1" fontId="5" fillId="15" borderId="2" xfId="0" applyNumberFormat="1" applyFont="1" applyFill="1" applyBorder="1" applyAlignment="1" applyProtection="1">
      <alignment horizontal="center" vertical="center" wrapText="1"/>
    </xf>
    <xf numFmtId="1" fontId="5" fillId="16" borderId="2" xfId="1" applyNumberFormat="1" applyFont="1" applyFill="1" applyBorder="1" applyAlignment="1" applyProtection="1">
      <alignment horizontal="center" vertical="center" wrapText="1"/>
    </xf>
    <xf numFmtId="165" fontId="9" fillId="2" borderId="2" xfId="1" applyNumberFormat="1" applyFont="1" applyFill="1" applyBorder="1" applyAlignment="1">
      <alignment horizontal="center" vertical="center" wrapText="1"/>
    </xf>
    <xf numFmtId="166" fontId="5" fillId="0" borderId="2" xfId="4" applyNumberFormat="1" applyFont="1" applyBorder="1" applyAlignment="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5" fillId="3" borderId="0" xfId="0" applyFont="1" applyFill="1" applyAlignment="1" applyProtection="1">
      <alignment horizontal="center" vertical="center" wrapText="1"/>
    </xf>
    <xf numFmtId="9" fontId="5" fillId="0" borderId="2" xfId="5" applyNumberFormat="1"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wrapText="1"/>
    </xf>
    <xf numFmtId="9" fontId="5" fillId="0" borderId="2" xfId="4" applyFont="1" applyBorder="1" applyAlignment="1">
      <alignment horizontal="center" vertical="center" wrapText="1"/>
    </xf>
    <xf numFmtId="9" fontId="5" fillId="0" borderId="5" xfId="4" applyFont="1" applyBorder="1" applyAlignment="1">
      <alignment horizontal="center" vertical="center" wrapText="1"/>
    </xf>
    <xf numFmtId="0" fontId="35" fillId="2" borderId="2" xfId="0" applyFont="1" applyFill="1" applyBorder="1" applyAlignment="1" applyProtection="1">
      <alignment horizontal="center" vertical="center" wrapText="1"/>
    </xf>
    <xf numFmtId="9" fontId="5" fillId="0" borderId="16" xfId="4" applyFont="1" applyBorder="1" applyAlignment="1">
      <alignment horizontal="center" vertical="center" wrapText="1"/>
    </xf>
    <xf numFmtId="9" fontId="6" fillId="19" borderId="17" xfId="4" applyFont="1" applyFill="1" applyBorder="1" applyAlignment="1">
      <alignment horizontal="center" vertical="center" wrapText="1"/>
    </xf>
    <xf numFmtId="1" fontId="5" fillId="0" borderId="0" xfId="0" applyNumberFormat="1" applyFont="1" applyFill="1" applyBorder="1" applyAlignment="1" applyProtection="1">
      <alignment horizontal="center" vertical="center" textRotation="90" wrapText="1"/>
    </xf>
    <xf numFmtId="0" fontId="5" fillId="15" borderId="2" xfId="0" applyFont="1" applyFill="1" applyBorder="1" applyAlignment="1" applyProtection="1">
      <alignment horizontal="center" vertical="center" wrapText="1"/>
    </xf>
    <xf numFmtId="0" fontId="5" fillId="16" borderId="2" xfId="1" applyNumberFormat="1" applyFont="1" applyFill="1" applyBorder="1" applyAlignment="1" applyProtection="1">
      <alignment horizontal="center" vertical="center" wrapText="1"/>
    </xf>
    <xf numFmtId="9" fontId="5" fillId="20" borderId="2" xfId="4" applyFont="1" applyFill="1" applyBorder="1" applyAlignment="1" applyProtection="1">
      <alignment horizontal="center" vertical="center" wrapText="1"/>
    </xf>
    <xf numFmtId="9" fontId="5" fillId="20" borderId="11" xfId="4" applyFont="1" applyFill="1" applyBorder="1" applyAlignment="1" applyProtection="1">
      <alignment horizontal="center" vertical="center" wrapText="1"/>
    </xf>
    <xf numFmtId="1" fontId="35" fillId="0" borderId="2" xfId="0" applyNumberFormat="1" applyFont="1" applyFill="1" applyBorder="1" applyAlignment="1" applyProtection="1">
      <alignment horizontal="center" vertical="center" wrapText="1"/>
    </xf>
    <xf numFmtId="1" fontId="41" fillId="0" borderId="0" xfId="0" applyNumberFormat="1" applyFont="1" applyFill="1" applyBorder="1" applyAlignment="1" applyProtection="1">
      <alignment horizontal="center" vertical="center" textRotation="90" wrapText="1"/>
    </xf>
    <xf numFmtId="9" fontId="5" fillId="15" borderId="2" xfId="4" applyFont="1" applyFill="1" applyBorder="1" applyAlignment="1" applyProtection="1">
      <alignment horizontal="center" vertical="center" wrapText="1"/>
    </xf>
    <xf numFmtId="9" fontId="5" fillId="16" borderId="2" xfId="4" applyFont="1" applyFill="1" applyBorder="1" applyAlignment="1" applyProtection="1">
      <alignment horizontal="center" vertical="center" wrapText="1"/>
    </xf>
    <xf numFmtId="9" fontId="35" fillId="0" borderId="2" xfId="4" applyNumberFormat="1" applyFont="1" applyFill="1" applyBorder="1" applyAlignment="1" applyProtection="1">
      <alignment horizontal="center" vertical="center" wrapText="1"/>
    </xf>
    <xf numFmtId="9" fontId="35" fillId="0" borderId="2" xfId="4" applyFont="1" applyFill="1" applyBorder="1" applyAlignment="1" applyProtection="1">
      <alignment horizontal="center" vertical="center" wrapText="1"/>
    </xf>
    <xf numFmtId="1" fontId="5" fillId="0" borderId="0" xfId="0" applyNumberFormat="1"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textRotation="90" wrapText="1"/>
    </xf>
    <xf numFmtId="0" fontId="6" fillId="0" borderId="0" xfId="0" applyFont="1" applyFill="1" applyBorder="1" applyAlignment="1" applyProtection="1">
      <alignment horizontal="center" vertical="center" textRotation="90" wrapText="1"/>
    </xf>
    <xf numFmtId="165" fontId="6" fillId="0" borderId="0" xfId="1" applyNumberFormat="1" applyFont="1" applyFill="1" applyBorder="1" applyAlignment="1" applyProtection="1">
      <alignment horizontal="center" vertical="center"/>
    </xf>
    <xf numFmtId="9" fontId="7" fillId="0" borderId="11" xfId="4" applyFont="1" applyFill="1" applyBorder="1" applyAlignment="1" applyProtection="1">
      <alignment horizontal="center" vertical="center" wrapText="1"/>
    </xf>
    <xf numFmtId="9" fontId="7" fillId="0" borderId="21" xfId="4" applyFont="1" applyFill="1" applyBorder="1" applyAlignment="1" applyProtection="1">
      <alignment horizontal="center" vertical="center" wrapText="1"/>
    </xf>
    <xf numFmtId="9" fontId="7" fillId="0" borderId="17" xfId="4" applyFont="1" applyFill="1" applyBorder="1" applyAlignment="1" applyProtection="1">
      <alignment horizontal="center" vertical="center" wrapText="1"/>
    </xf>
    <xf numFmtId="9" fontId="7" fillId="0" borderId="9" xfId="4" applyFont="1" applyFill="1" applyBorder="1" applyAlignment="1" applyProtection="1">
      <alignment horizontal="center" vertical="center" wrapText="1"/>
    </xf>
    <xf numFmtId="165" fontId="7" fillId="0" borderId="0" xfId="1" applyNumberFormat="1" applyFont="1" applyFill="1" applyBorder="1" applyAlignment="1" applyProtection="1">
      <alignment horizontal="center" vertical="center" wrapText="1"/>
    </xf>
    <xf numFmtId="1" fontId="24"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textRotation="90" wrapText="1"/>
    </xf>
    <xf numFmtId="0" fontId="8" fillId="2" borderId="0" xfId="5" applyFont="1" applyFill="1" applyBorder="1" applyAlignment="1" applyProtection="1">
      <alignment vertical="center" wrapText="1"/>
    </xf>
    <xf numFmtId="9" fontId="9" fillId="0" borderId="0" xfId="4"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1" fontId="9" fillId="15" borderId="2" xfId="4" applyNumberFormat="1" applyFont="1" applyFill="1" applyBorder="1" applyAlignment="1" applyProtection="1">
      <alignment horizontal="center" vertical="center" wrapText="1"/>
    </xf>
    <xf numFmtId="165" fontId="9" fillId="0" borderId="0" xfId="1" applyNumberFormat="1" applyFont="1" applyFill="1" applyBorder="1" applyAlignment="1" applyProtection="1">
      <alignment horizontal="center" vertical="center" wrapText="1"/>
    </xf>
    <xf numFmtId="165" fontId="8" fillId="0" borderId="0" xfId="1" applyNumberFormat="1"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1" fontId="9" fillId="0" borderId="2" xfId="4" applyNumberFormat="1" applyFont="1" applyFill="1" applyBorder="1" applyAlignment="1" applyProtection="1">
      <alignment horizontal="center" vertical="center" wrapText="1"/>
    </xf>
    <xf numFmtId="1" fontId="9" fillId="2" borderId="2" xfId="4" applyNumberFormat="1" applyFont="1" applyFill="1" applyBorder="1" applyAlignment="1" applyProtection="1">
      <alignment horizontal="center" vertical="center" wrapText="1"/>
    </xf>
    <xf numFmtId="0" fontId="8" fillId="3" borderId="5" xfId="5" applyFont="1" applyFill="1" applyBorder="1" applyAlignment="1" applyProtection="1">
      <alignment horizontal="center" vertical="center" wrapText="1"/>
    </xf>
    <xf numFmtId="10" fontId="5" fillId="15" borderId="2" xfId="5" applyNumberFormat="1"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6" borderId="2" xfId="1" applyNumberFormat="1" applyFont="1" applyFill="1" applyBorder="1" applyAlignment="1">
      <alignment horizontal="center" vertical="center" wrapText="1"/>
    </xf>
    <xf numFmtId="165" fontId="5" fillId="2" borderId="19" xfId="1" applyNumberFormat="1" applyFont="1" applyFill="1" applyBorder="1" applyAlignment="1">
      <alignment horizontal="center" vertical="center" wrapText="1"/>
    </xf>
    <xf numFmtId="166" fontId="5" fillId="0" borderId="16" xfId="4" applyNumberFormat="1" applyFont="1" applyBorder="1" applyAlignment="1">
      <alignment horizontal="center" vertical="center" wrapText="1"/>
    </xf>
    <xf numFmtId="0" fontId="5" fillId="3" borderId="0" xfId="0" applyFont="1" applyFill="1" applyAlignment="1">
      <alignment horizontal="center" vertical="center" wrapText="1"/>
    </xf>
    <xf numFmtId="10" fontId="5" fillId="0" borderId="2" xfId="5"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wrapText="1"/>
    </xf>
    <xf numFmtId="0" fontId="35" fillId="3" borderId="0" xfId="0" applyFont="1" applyFill="1" applyAlignment="1">
      <alignment horizontal="center" vertical="center" wrapText="1"/>
    </xf>
    <xf numFmtId="0" fontId="5" fillId="2" borderId="2" xfId="0" applyFont="1" applyFill="1" applyBorder="1" applyAlignment="1">
      <alignment horizontal="center" vertical="center" wrapText="1"/>
    </xf>
    <xf numFmtId="1" fontId="41" fillId="0" borderId="0" xfId="0" applyNumberFormat="1" applyFont="1" applyFill="1" applyBorder="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textRotation="90" wrapText="1"/>
    </xf>
    <xf numFmtId="0" fontId="35" fillId="0" borderId="0" xfId="0" applyFont="1" applyFill="1" applyBorder="1" applyAlignment="1" applyProtection="1">
      <alignment horizontal="center" vertical="center" textRotation="90" wrapText="1"/>
    </xf>
    <xf numFmtId="9" fontId="7" fillId="0" borderId="2" xfId="4" applyFont="1" applyFill="1" applyBorder="1" applyAlignment="1" applyProtection="1">
      <alignment horizontal="center" vertical="center" wrapText="1"/>
    </xf>
    <xf numFmtId="9" fontId="7" fillId="0" borderId="16" xfId="4" applyFont="1" applyFill="1" applyBorder="1" applyAlignment="1" applyProtection="1">
      <alignment horizontal="center" vertical="center" wrapText="1"/>
    </xf>
    <xf numFmtId="9" fontId="7" fillId="0" borderId="19" xfId="4" applyFont="1" applyFill="1" applyBorder="1" applyAlignment="1" applyProtection="1">
      <alignment horizontal="center" vertical="center" wrapText="1"/>
    </xf>
    <xf numFmtId="165" fontId="5" fillId="0" borderId="0" xfId="1" applyNumberFormat="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xf>
    <xf numFmtId="43" fontId="9" fillId="0" borderId="0" xfId="1" applyFont="1" applyFill="1" applyBorder="1" applyAlignment="1" applyProtection="1">
      <alignment horizontal="center" vertical="center" wrapText="1"/>
    </xf>
    <xf numFmtId="167" fontId="9" fillId="0" borderId="0" xfId="4"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1" fontId="5" fillId="23" borderId="2" xfId="0" applyNumberFormat="1" applyFont="1" applyFill="1" applyBorder="1" applyAlignment="1" applyProtection="1">
      <alignment horizontal="center" vertical="center" wrapText="1"/>
    </xf>
    <xf numFmtId="165" fontId="5" fillId="0" borderId="2" xfId="1" applyNumberFormat="1" applyFont="1" applyFill="1" applyBorder="1" applyAlignment="1" applyProtection="1">
      <alignment horizontal="center" vertical="center" wrapText="1"/>
    </xf>
    <xf numFmtId="0" fontId="35" fillId="0" borderId="0" xfId="0" applyFont="1" applyFill="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3" borderId="0" xfId="0" applyFont="1" applyFill="1" applyAlignment="1" applyProtection="1">
      <alignment horizontal="center" vertical="center" wrapText="1"/>
    </xf>
    <xf numFmtId="9" fontId="5" fillId="0" borderId="2" xfId="5" applyNumberFormat="1" applyFont="1" applyFill="1" applyBorder="1" applyAlignment="1">
      <alignment horizontal="center" vertical="center" wrapText="1"/>
    </xf>
    <xf numFmtId="9" fontId="5" fillId="20" borderId="2" xfId="4" applyFont="1" applyFill="1" applyBorder="1" applyAlignment="1">
      <alignment horizontal="center" vertical="center" wrapText="1"/>
    </xf>
    <xf numFmtId="9" fontId="5" fillId="0" borderId="2" xfId="4" applyFont="1" applyBorder="1" applyAlignment="1" applyProtection="1">
      <alignment horizontal="center" vertical="center" wrapText="1"/>
    </xf>
    <xf numFmtId="9" fontId="5" fillId="20" borderId="19" xfId="4" applyFont="1" applyFill="1" applyBorder="1" applyAlignment="1" applyProtection="1">
      <alignment horizontal="center" vertical="center" wrapText="1"/>
    </xf>
    <xf numFmtId="168" fontId="5" fillId="23" borderId="2" xfId="0" applyNumberFormat="1" applyFont="1" applyFill="1" applyBorder="1" applyAlignment="1" applyProtection="1">
      <alignment horizontal="center" vertical="center" wrapText="1"/>
    </xf>
    <xf numFmtId="169" fontId="44" fillId="23" borderId="2" xfId="0" applyNumberFormat="1" applyFont="1" applyFill="1" applyBorder="1" applyAlignment="1" applyProtection="1">
      <alignment horizontal="center" vertical="center" wrapText="1"/>
    </xf>
    <xf numFmtId="169" fontId="44" fillId="24" borderId="2" xfId="0" applyNumberFormat="1" applyFont="1" applyFill="1" applyBorder="1" applyAlignment="1" applyProtection="1">
      <alignment horizontal="center" vertical="center" wrapText="1"/>
    </xf>
    <xf numFmtId="169" fontId="44" fillId="8" borderId="2" xfId="0" applyNumberFormat="1" applyFont="1" applyFill="1" applyBorder="1" applyAlignment="1" applyProtection="1">
      <alignment horizontal="center" vertical="center" wrapText="1"/>
    </xf>
    <xf numFmtId="169" fontId="5" fillId="8" borderId="2" xfId="0" applyNumberFormat="1" applyFont="1" applyFill="1" applyBorder="1" applyAlignment="1" applyProtection="1">
      <alignment horizontal="center" vertical="center" wrapText="1"/>
    </xf>
    <xf numFmtId="9" fontId="5" fillId="0" borderId="2" xfId="4" applyFont="1" applyFill="1" applyBorder="1" applyAlignment="1" applyProtection="1">
      <alignment horizontal="center" vertical="center" wrapText="1"/>
    </xf>
    <xf numFmtId="9" fontId="5" fillId="0" borderId="16" xfId="4" applyFont="1" applyFill="1" applyBorder="1" applyAlignment="1" applyProtection="1">
      <alignment horizontal="center" vertical="center" wrapText="1"/>
    </xf>
    <xf numFmtId="9" fontId="5" fillId="0" borderId="17" xfId="4" applyFont="1" applyFill="1" applyBorder="1" applyAlignment="1" applyProtection="1">
      <alignment horizontal="center" vertical="center" wrapText="1"/>
    </xf>
    <xf numFmtId="9" fontId="5" fillId="0" borderId="19" xfId="4" applyFont="1" applyFill="1" applyBorder="1" applyAlignment="1" applyProtection="1">
      <alignment horizontal="center" vertical="center" wrapText="1"/>
    </xf>
    <xf numFmtId="1" fontId="19" fillId="0" borderId="0" xfId="0" applyNumberFormat="1" applyFont="1" applyFill="1" applyAlignment="1" applyProtection="1">
      <alignment horizontal="center" vertical="center" wrapText="1"/>
    </xf>
    <xf numFmtId="1" fontId="47" fillId="0" borderId="0" xfId="0" applyNumberFormat="1" applyFont="1" applyFill="1" applyAlignment="1" applyProtection="1">
      <alignment horizontal="center" vertical="center" wrapText="1"/>
    </xf>
    <xf numFmtId="0" fontId="19" fillId="0" borderId="0" xfId="0" applyFont="1" applyFill="1" applyAlignment="1" applyProtection="1">
      <alignment horizontal="center" vertical="center" textRotation="90" wrapText="1"/>
    </xf>
    <xf numFmtId="0" fontId="20" fillId="3" borderId="0" xfId="0" applyFont="1" applyFill="1" applyAlignment="1" applyProtection="1">
      <alignment horizontal="center" vertical="center" wrapText="1"/>
    </xf>
    <xf numFmtId="0" fontId="8" fillId="8" borderId="16" xfId="0" applyFont="1" applyFill="1" applyBorder="1" applyAlignment="1" applyProtection="1">
      <alignment horizontal="center" vertical="center" wrapText="1"/>
    </xf>
    <xf numFmtId="9" fontId="5" fillId="23" borderId="2" xfId="5" applyNumberFormat="1" applyFont="1" applyFill="1" applyBorder="1" applyAlignment="1" applyProtection="1">
      <alignment horizontal="center" vertical="center" wrapText="1"/>
    </xf>
    <xf numFmtId="1" fontId="35" fillId="2" borderId="2" xfId="0" applyNumberFormat="1" applyFont="1" applyFill="1" applyBorder="1" applyAlignment="1" applyProtection="1">
      <alignment horizontal="center" vertical="center" wrapText="1"/>
    </xf>
    <xf numFmtId="9" fontId="9" fillId="0" borderId="0" xfId="5"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textRotation="90" wrapText="1"/>
    </xf>
    <xf numFmtId="0" fontId="8" fillId="0" borderId="0" xfId="5" applyFont="1" applyFill="1" applyBorder="1" applyAlignment="1" applyProtection="1">
      <alignment vertical="center" textRotation="90" wrapText="1"/>
    </xf>
    <xf numFmtId="0" fontId="8" fillId="8" borderId="5" xfId="0" applyFont="1" applyFill="1" applyBorder="1" applyAlignment="1" applyProtection="1">
      <alignment horizontal="center" vertical="center" wrapText="1"/>
    </xf>
    <xf numFmtId="0" fontId="5" fillId="0" borderId="2" xfId="5" applyFont="1" applyFill="1" applyBorder="1" applyAlignment="1">
      <alignment horizontal="center" vertical="center" wrapText="1"/>
    </xf>
    <xf numFmtId="3" fontId="35" fillId="0" borderId="2" xfId="0" applyNumberFormat="1" applyFont="1" applyFill="1" applyBorder="1" applyAlignment="1">
      <alignment horizontal="center" vertical="center" wrapText="1"/>
    </xf>
    <xf numFmtId="1" fontId="35" fillId="0" borderId="2" xfId="0"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0" fontId="5" fillId="23" borderId="2" xfId="5" applyFont="1" applyFill="1" applyBorder="1" applyAlignment="1">
      <alignment horizontal="center" vertical="center" wrapText="1"/>
    </xf>
    <xf numFmtId="0" fontId="5" fillId="2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66" fontId="5" fillId="23" borderId="2" xfId="4" applyNumberFormat="1" applyFont="1" applyFill="1" applyBorder="1" applyAlignment="1" applyProtection="1">
      <alignment horizontal="center" vertical="center" wrapText="1"/>
    </xf>
    <xf numFmtId="166" fontId="5" fillId="16" borderId="2" xfId="4" applyNumberFormat="1" applyFont="1" applyFill="1" applyBorder="1" applyAlignment="1" applyProtection="1">
      <alignment horizontal="center" vertical="center" wrapText="1"/>
    </xf>
    <xf numFmtId="0" fontId="5" fillId="3" borderId="0" xfId="0" applyFont="1" applyFill="1" applyProtection="1"/>
    <xf numFmtId="9" fontId="35" fillId="0" borderId="2" xfId="4" applyFont="1" applyFill="1" applyBorder="1" applyAlignment="1">
      <alignment horizontal="center" vertical="center" wrapText="1"/>
    </xf>
    <xf numFmtId="168" fontId="35" fillId="0" borderId="2" xfId="0" applyNumberFormat="1" applyFont="1" applyFill="1" applyBorder="1" applyAlignment="1">
      <alignment horizontal="center" vertical="center" wrapText="1"/>
    </xf>
    <xf numFmtId="1" fontId="41" fillId="2" borderId="0" xfId="0" applyNumberFormat="1" applyFont="1" applyFill="1" applyBorder="1" applyAlignment="1" applyProtection="1">
      <alignment horizontal="center" vertical="center" textRotation="90" wrapText="1"/>
    </xf>
    <xf numFmtId="165" fontId="5" fillId="22" borderId="2" xfId="1" applyNumberFormat="1" applyFont="1" applyFill="1" applyBorder="1" applyAlignment="1" applyProtection="1">
      <alignment horizontal="center" vertical="center" wrapText="1"/>
    </xf>
    <xf numFmtId="9" fontId="5" fillId="22" borderId="2" xfId="4" applyFont="1" applyFill="1" applyBorder="1" applyAlignment="1" applyProtection="1">
      <alignment horizontal="center" vertical="center" wrapText="1"/>
    </xf>
    <xf numFmtId="9" fontId="5" fillId="0" borderId="0" xfId="4"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44" fontId="5" fillId="0" borderId="0" xfId="3" applyFont="1" applyFill="1" applyBorder="1" applyAlignment="1" applyProtection="1">
      <alignment horizontal="center" vertical="center" wrapText="1"/>
    </xf>
    <xf numFmtId="9" fontId="5" fillId="0" borderId="0" xfId="5" applyNumberFormat="1" applyFont="1" applyFill="1" applyBorder="1" applyAlignment="1" applyProtection="1">
      <alignment horizontal="center" vertical="center" wrapText="1"/>
    </xf>
    <xf numFmtId="165" fontId="35" fillId="0" borderId="0" xfId="1" applyNumberFormat="1" applyFont="1" applyFill="1" applyBorder="1" applyAlignment="1" applyProtection="1">
      <alignment horizontal="center" vertical="center" wrapText="1"/>
    </xf>
    <xf numFmtId="9" fontId="5" fillId="22" borderId="11" xfId="4" applyFont="1" applyFill="1" applyBorder="1" applyAlignment="1" applyProtection="1">
      <alignment horizontal="center" vertical="center" wrapText="1"/>
    </xf>
    <xf numFmtId="9" fontId="5" fillId="22" borderId="21" xfId="4" applyFont="1" applyFill="1" applyBorder="1" applyAlignment="1" applyProtection="1">
      <alignment horizontal="center" vertical="center" wrapText="1"/>
    </xf>
    <xf numFmtId="9" fontId="5" fillId="22" borderId="17" xfId="4" applyFont="1" applyFill="1" applyBorder="1" applyAlignment="1" applyProtection="1">
      <alignment horizontal="center" vertical="center" wrapText="1"/>
    </xf>
    <xf numFmtId="9" fontId="5" fillId="22" borderId="9" xfId="4"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1" fontId="8" fillId="2" borderId="0" xfId="5" applyNumberFormat="1" applyFont="1" applyFill="1" applyBorder="1" applyAlignment="1" applyProtection="1">
      <alignment vertical="center" wrapText="1"/>
    </xf>
    <xf numFmtId="0" fontId="7" fillId="15" borderId="2" xfId="0" applyFont="1" applyFill="1" applyBorder="1" applyAlignment="1" applyProtection="1">
      <alignment horizontal="center" vertical="center" wrapText="1"/>
    </xf>
    <xf numFmtId="9" fontId="5" fillId="15" borderId="2" xfId="7"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7" fillId="0" borderId="2" xfId="0" applyFont="1" applyFill="1" applyBorder="1" applyAlignment="1">
      <alignment horizontal="center" vertical="center" wrapText="1"/>
    </xf>
    <xf numFmtId="9" fontId="3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15" borderId="2" xfId="7" applyNumberFormat="1" applyFont="1" applyFill="1" applyBorder="1" applyAlignment="1" applyProtection="1">
      <alignment horizontal="center" vertical="center" wrapText="1"/>
    </xf>
    <xf numFmtId="1" fontId="35" fillId="2" borderId="2" xfId="0" applyNumberFormat="1" applyFont="1" applyFill="1" applyBorder="1" applyAlignment="1">
      <alignment horizontal="center" vertical="center" wrapText="1"/>
    </xf>
    <xf numFmtId="9" fontId="50" fillId="20" borderId="2" xfId="4" applyFont="1" applyFill="1" applyBorder="1" applyAlignment="1">
      <alignment horizontal="center" vertical="center" wrapText="1"/>
    </xf>
    <xf numFmtId="0" fontId="7" fillId="15" borderId="2" xfId="0" applyFont="1" applyFill="1" applyBorder="1" applyAlignment="1">
      <alignment horizontal="center" vertical="center" wrapText="1"/>
    </xf>
    <xf numFmtId="9" fontId="5" fillId="13" borderId="2" xfId="7" applyNumberFormat="1" applyFont="1" applyFill="1" applyBorder="1" applyAlignment="1" applyProtection="1">
      <alignment horizontal="center" vertical="center" wrapText="1"/>
    </xf>
    <xf numFmtId="9" fontId="5" fillId="3" borderId="2" xfId="4" applyFont="1" applyFill="1" applyBorder="1" applyAlignment="1">
      <alignment horizontal="center" vertical="center" wrapText="1"/>
    </xf>
    <xf numFmtId="0" fontId="5" fillId="0" borderId="0" xfId="0" applyFont="1" applyFill="1" applyBorder="1" applyAlignment="1">
      <alignment horizontal="center" vertical="center" textRotation="90" wrapText="1"/>
    </xf>
    <xf numFmtId="1" fontId="45" fillId="0" borderId="0" xfId="0" applyNumberFormat="1" applyFont="1" applyFill="1" applyBorder="1" applyAlignment="1" applyProtection="1">
      <alignment horizontal="center" vertical="center" wrapText="1"/>
    </xf>
    <xf numFmtId="9" fontId="5" fillId="2" borderId="2" xfId="4" applyFont="1" applyFill="1" applyBorder="1" applyAlignment="1">
      <alignment horizontal="center" vertical="center" wrapText="1"/>
    </xf>
    <xf numFmtId="1" fontId="5" fillId="15" borderId="2" xfId="7"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0" fontId="5" fillId="23" borderId="2" xfId="5" applyNumberFormat="1" applyFont="1" applyFill="1" applyBorder="1" applyAlignment="1">
      <alignment horizontal="center" vertical="center" wrapText="1"/>
    </xf>
    <xf numFmtId="9" fontId="5" fillId="0" borderId="0" xfId="4" applyFont="1" applyFill="1" applyBorder="1" applyAlignment="1">
      <alignment horizontal="center" vertical="center" textRotation="90"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5" fillId="0" borderId="5" xfId="4"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9" fontId="5" fillId="0" borderId="11" xfId="4" applyFont="1" applyFill="1" applyBorder="1" applyAlignment="1" applyProtection="1">
      <alignment horizontal="center" vertical="center" wrapText="1"/>
    </xf>
    <xf numFmtId="9" fontId="5" fillId="0" borderId="21" xfId="4" applyFont="1" applyFill="1" applyBorder="1" applyAlignment="1" applyProtection="1">
      <alignment horizontal="center" vertical="center" wrapText="1"/>
    </xf>
    <xf numFmtId="9" fontId="5" fillId="0" borderId="9" xfId="4" applyFont="1" applyFill="1" applyBorder="1" applyAlignment="1" applyProtection="1">
      <alignment horizontal="center" vertical="center" wrapText="1"/>
    </xf>
    <xf numFmtId="9" fontId="5" fillId="0" borderId="0" xfId="4" applyFont="1" applyFill="1" applyBorder="1" applyAlignment="1" applyProtection="1">
      <alignment vertical="center" wrapText="1"/>
    </xf>
    <xf numFmtId="1" fontId="14" fillId="0" borderId="0" xfId="0" applyNumberFormat="1" applyFont="1" applyFill="1" applyBorder="1" applyAlignment="1" applyProtection="1">
      <alignment horizontal="center" vertical="center" wrapText="1"/>
    </xf>
    <xf numFmtId="1" fontId="15" fillId="0" borderId="0" xfId="0" applyNumberFormat="1" applyFont="1" applyFill="1" applyBorder="1" applyAlignment="1" applyProtection="1">
      <alignment horizontal="center" vertical="center" wrapText="1"/>
    </xf>
    <xf numFmtId="0" fontId="6" fillId="2" borderId="0" xfId="5" applyFont="1" applyFill="1" applyBorder="1" applyAlignment="1" applyProtection="1">
      <alignment vertical="center" wrapText="1"/>
    </xf>
    <xf numFmtId="10" fontId="9" fillId="2" borderId="0" xfId="0" applyNumberFormat="1" applyFont="1" applyFill="1" applyAlignment="1" applyProtection="1">
      <alignment horizontal="center" vertical="center" wrapText="1"/>
    </xf>
    <xf numFmtId="0" fontId="5" fillId="15" borderId="11" xfId="7" applyNumberFormat="1" applyFont="1" applyFill="1" applyBorder="1" applyAlignment="1" applyProtection="1">
      <alignment horizontal="center" vertical="center" wrapText="1"/>
    </xf>
    <xf numFmtId="165" fontId="5" fillId="0" borderId="2" xfId="1"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52" fillId="0" borderId="2" xfId="0" applyFont="1" applyFill="1" applyBorder="1" applyAlignment="1">
      <alignment horizontal="center" vertical="center" wrapText="1"/>
    </xf>
    <xf numFmtId="1" fontId="5" fillId="0" borderId="0" xfId="0" applyNumberFormat="1" applyFont="1" applyFill="1" applyBorder="1" applyAlignment="1">
      <alignment horizontal="center" vertical="center" textRotation="90" wrapText="1"/>
    </xf>
    <xf numFmtId="9" fontId="5" fillId="15" borderId="11" xfId="4" applyFont="1" applyFill="1" applyBorder="1" applyAlignment="1" applyProtection="1">
      <alignment horizontal="center" vertical="center" wrapText="1"/>
    </xf>
    <xf numFmtId="9" fontId="35" fillId="22" borderId="2" xfId="4" applyFont="1" applyFill="1" applyBorder="1" applyAlignment="1">
      <alignment horizontal="center" vertical="center" wrapText="1"/>
    </xf>
    <xf numFmtId="166" fontId="35" fillId="0" borderId="2" xfId="4"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9" fontId="35" fillId="0" borderId="2"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9" fontId="5" fillId="15" borderId="2" xfId="4" applyFont="1" applyFill="1" applyBorder="1" applyAlignment="1">
      <alignment horizontal="center" vertical="center" wrapText="1"/>
    </xf>
    <xf numFmtId="166" fontId="5" fillId="15" borderId="11" xfId="4" applyNumberFormat="1" applyFont="1" applyFill="1" applyBorder="1" applyAlignment="1" applyProtection="1">
      <alignment horizontal="center" vertical="center" wrapText="1"/>
    </xf>
    <xf numFmtId="166" fontId="5" fillId="15" borderId="2" xfId="4" applyNumberFormat="1" applyFont="1" applyFill="1" applyBorder="1" applyAlignment="1" applyProtection="1">
      <alignment horizontal="center" vertical="center" wrapText="1"/>
    </xf>
    <xf numFmtId="1" fontId="5" fillId="0" borderId="0" xfId="0" applyNumberFormat="1" applyFont="1" applyFill="1" applyAlignment="1">
      <alignment horizontal="center" vertical="center" wrapText="1"/>
    </xf>
    <xf numFmtId="0" fontId="5" fillId="2" borderId="0" xfId="0" applyFont="1" applyFill="1" applyBorder="1" applyAlignment="1">
      <alignment horizontal="center" vertical="center" wrapText="1"/>
    </xf>
    <xf numFmtId="165" fontId="5" fillId="0" borderId="0" xfId="1" applyNumberFormat="1" applyFont="1" applyFill="1" applyBorder="1" applyAlignment="1">
      <alignment horizontal="center" vertical="center" wrapText="1"/>
    </xf>
    <xf numFmtId="9" fontId="6" fillId="19" borderId="0" xfId="4" applyFont="1" applyFill="1" applyBorder="1" applyAlignment="1">
      <alignment horizontal="center" vertical="center" wrapText="1"/>
    </xf>
    <xf numFmtId="0" fontId="5" fillId="0" borderId="0" xfId="0" applyFont="1" applyFill="1" applyBorder="1" applyAlignment="1">
      <alignment horizontal="center" vertical="center" wrapText="1"/>
    </xf>
    <xf numFmtId="9" fontId="7" fillId="0" borderId="0" xfId="4" applyFont="1" applyBorder="1" applyAlignment="1">
      <alignment horizontal="center" vertical="center" wrapText="1"/>
    </xf>
    <xf numFmtId="41" fontId="35" fillId="0" borderId="2" xfId="2" applyFont="1" applyFill="1" applyBorder="1" applyAlignment="1">
      <alignment horizontal="center" vertical="center" wrapText="1"/>
    </xf>
    <xf numFmtId="0" fontId="14"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1" fontId="5" fillId="16" borderId="2" xfId="7"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3" fontId="35" fillId="0" borderId="2" xfId="0" applyNumberFormat="1" applyFont="1" applyFill="1" applyBorder="1" applyAlignment="1" applyProtection="1">
      <alignment horizontal="center" vertical="center" wrapText="1"/>
    </xf>
    <xf numFmtId="1" fontId="5" fillId="15" borderId="11" xfId="7" applyNumberFormat="1" applyFont="1" applyFill="1" applyBorder="1" applyAlignment="1" applyProtection="1">
      <alignment horizontal="center" vertical="center" wrapText="1"/>
    </xf>
    <xf numFmtId="1" fontId="5" fillId="16" borderId="11" xfId="7" applyNumberFormat="1" applyFont="1" applyFill="1" applyBorder="1" applyAlignment="1" applyProtection="1">
      <alignment horizontal="center" vertical="center" wrapText="1"/>
    </xf>
    <xf numFmtId="10" fontId="5" fillId="0" borderId="2" xfId="5" applyNumberFormat="1" applyFont="1" applyFill="1" applyBorder="1" applyAlignment="1" applyProtection="1">
      <alignment horizontal="center" vertical="center" wrapText="1"/>
    </xf>
    <xf numFmtId="0" fontId="5" fillId="15" borderId="11" xfId="0" applyFont="1" applyFill="1" applyBorder="1" applyAlignment="1" applyProtection="1">
      <alignment horizontal="center" vertical="center" wrapText="1"/>
    </xf>
    <xf numFmtId="0" fontId="35" fillId="8" borderId="2" xfId="0" applyFont="1" applyFill="1" applyBorder="1" applyAlignment="1" applyProtection="1">
      <alignment horizontal="center" vertical="center" wrapText="1"/>
    </xf>
    <xf numFmtId="1" fontId="35" fillId="8" borderId="2" xfId="0" applyNumberFormat="1" applyFont="1" applyFill="1" applyBorder="1" applyAlignment="1" applyProtection="1">
      <alignment horizontal="center" vertical="center" wrapText="1"/>
    </xf>
    <xf numFmtId="9" fontId="6" fillId="19" borderId="27" xfId="4" applyFont="1" applyFill="1" applyBorder="1" applyAlignment="1">
      <alignment horizontal="center" vertical="center" wrapText="1"/>
    </xf>
    <xf numFmtId="0" fontId="5" fillId="0" borderId="0" xfId="0" applyFont="1" applyFill="1" applyProtection="1"/>
    <xf numFmtId="0" fontId="5" fillId="0" borderId="0" xfId="0" applyFont="1" applyFill="1" applyBorder="1" applyProtection="1"/>
    <xf numFmtId="0" fontId="5" fillId="0" borderId="2" xfId="0" applyFont="1" applyFill="1" applyBorder="1" applyAlignment="1" applyProtection="1">
      <alignment horizontal="center" vertical="center" wrapText="1"/>
    </xf>
    <xf numFmtId="168" fontId="35" fillId="0" borderId="2" xfId="0" applyNumberFormat="1" applyFont="1" applyFill="1" applyBorder="1" applyAlignment="1" applyProtection="1">
      <alignment horizontal="center" vertical="center" wrapText="1"/>
    </xf>
    <xf numFmtId="166" fontId="5" fillId="0" borderId="2" xfId="4" applyNumberFormat="1" applyFont="1" applyBorder="1" applyAlignment="1" applyProtection="1">
      <alignment horizontal="center" vertical="center" wrapText="1"/>
    </xf>
    <xf numFmtId="0" fontId="5" fillId="0" borderId="5" xfId="5" applyFont="1" applyFill="1" applyBorder="1" applyAlignment="1">
      <alignment horizontal="center" vertical="center" wrapText="1"/>
    </xf>
    <xf numFmtId="1" fontId="5" fillId="15" borderId="11" xfId="1" applyNumberFormat="1" applyFont="1" applyFill="1" applyBorder="1" applyAlignment="1">
      <alignment horizontal="center" vertical="center" wrapText="1"/>
    </xf>
    <xf numFmtId="1" fontId="5" fillId="15" borderId="2" xfId="4" applyNumberFormat="1" applyFont="1" applyFill="1" applyBorder="1" applyAlignment="1">
      <alignment horizontal="center" vertical="center" wrapText="1"/>
    </xf>
    <xf numFmtId="1" fontId="5" fillId="16" borderId="11" xfId="1" applyNumberFormat="1" applyFont="1" applyFill="1" applyBorder="1" applyAlignment="1">
      <alignment horizontal="center" vertical="center" wrapText="1"/>
    </xf>
    <xf numFmtId="9" fontId="5" fillId="20" borderId="19" xfId="4" applyFont="1" applyFill="1" applyBorder="1" applyAlignment="1">
      <alignment horizontal="center" vertical="center" wrapText="1"/>
    </xf>
    <xf numFmtId="17" fontId="5" fillId="0" borderId="10" xfId="5" applyNumberFormat="1" applyFont="1" applyFill="1" applyBorder="1" applyAlignment="1">
      <alignment horizontal="center" vertical="center" wrapText="1"/>
    </xf>
    <xf numFmtId="9" fontId="44" fillId="2" borderId="2" xfId="5" applyNumberFormat="1" applyFont="1" applyFill="1" applyBorder="1" applyAlignment="1">
      <alignment horizontal="center" vertical="center" wrapText="1"/>
    </xf>
    <xf numFmtId="0" fontId="5" fillId="0" borderId="11" xfId="5" applyFont="1" applyFill="1" applyBorder="1" applyAlignment="1">
      <alignment horizontal="center" vertical="center" wrapText="1"/>
    </xf>
    <xf numFmtId="9" fontId="5" fillId="16" borderId="2" xfId="4" applyFont="1" applyFill="1" applyBorder="1" applyAlignment="1">
      <alignment horizontal="center" vertical="center" wrapText="1"/>
    </xf>
    <xf numFmtId="0" fontId="5" fillId="2" borderId="0" xfId="5" applyFont="1" applyFill="1" applyBorder="1" applyAlignment="1">
      <alignment horizontal="center"/>
    </xf>
    <xf numFmtId="9" fontId="42" fillId="0" borderId="2" xfId="0" applyNumberFormat="1" applyFont="1" applyFill="1" applyBorder="1" applyAlignment="1">
      <alignment horizontal="center" vertical="center" wrapText="1"/>
    </xf>
    <xf numFmtId="0" fontId="6" fillId="2" borderId="0" xfId="5" applyFont="1" applyFill="1" applyBorder="1" applyAlignment="1" applyProtection="1">
      <alignment horizontal="center" vertical="center" wrapText="1"/>
    </xf>
    <xf numFmtId="0" fontId="9" fillId="2" borderId="0" xfId="5" applyFont="1" applyFill="1" applyBorder="1" applyAlignment="1" applyProtection="1">
      <alignment horizontal="center" vertical="center" wrapText="1"/>
    </xf>
    <xf numFmtId="9" fontId="9" fillId="2" borderId="0" xfId="4" applyFont="1" applyFill="1" applyBorder="1" applyAlignment="1" applyProtection="1">
      <alignment horizontal="center" vertical="center" wrapText="1"/>
    </xf>
    <xf numFmtId="9" fontId="9" fillId="2" borderId="0" xfId="4" applyNumberFormat="1" applyFont="1" applyFill="1" applyBorder="1" applyAlignment="1" applyProtection="1">
      <alignment horizontal="center" vertical="center" wrapText="1"/>
    </xf>
    <xf numFmtId="9" fontId="9" fillId="2" borderId="0" xfId="5" applyNumberFormat="1" applyFont="1" applyFill="1" applyBorder="1" applyAlignment="1" applyProtection="1">
      <alignment horizontal="center" vertical="center" wrapText="1"/>
    </xf>
    <xf numFmtId="9" fontId="8" fillId="0" borderId="0" xfId="5" applyNumberFormat="1" applyFont="1" applyFill="1" applyBorder="1" applyAlignment="1" applyProtection="1">
      <alignment horizontal="center" vertical="center" wrapText="1"/>
    </xf>
    <xf numFmtId="1" fontId="5" fillId="15" borderId="2" xfId="1" applyNumberFormat="1" applyFont="1" applyFill="1" applyBorder="1" applyAlignment="1">
      <alignment horizontal="center" vertical="center" wrapText="1"/>
    </xf>
    <xf numFmtId="1" fontId="5" fillId="16" borderId="2" xfId="1" applyNumberFormat="1" applyFont="1" applyFill="1" applyBorder="1" applyAlignment="1">
      <alignment horizontal="center" vertical="center" wrapText="1"/>
    </xf>
    <xf numFmtId="165" fontId="5" fillId="2" borderId="8" xfId="1" applyNumberFormat="1" applyFont="1" applyFill="1" applyBorder="1" applyAlignment="1">
      <alignment horizontal="center" vertical="center" wrapText="1"/>
    </xf>
    <xf numFmtId="3" fontId="35" fillId="25" borderId="2" xfId="0" applyNumberFormat="1" applyFont="1" applyFill="1" applyBorder="1" applyAlignment="1">
      <alignment horizontal="center" vertical="center" wrapText="1"/>
    </xf>
    <xf numFmtId="165" fontId="5" fillId="2" borderId="12" xfId="1" applyNumberFormat="1" applyFont="1" applyFill="1" applyBorder="1" applyAlignment="1">
      <alignment horizontal="center" vertical="center" wrapText="1"/>
    </xf>
    <xf numFmtId="165" fontId="5" fillId="2" borderId="9" xfId="1" applyNumberFormat="1" applyFont="1" applyFill="1" applyBorder="1" applyAlignment="1">
      <alignment horizontal="center" vertical="center" wrapText="1"/>
    </xf>
    <xf numFmtId="3" fontId="35" fillId="8" borderId="2" xfId="0" applyNumberFormat="1" applyFont="1" applyFill="1" applyBorder="1" applyAlignment="1">
      <alignment horizontal="center" vertical="center" wrapText="1"/>
    </xf>
    <xf numFmtId="44" fontId="5" fillId="15" borderId="2" xfId="3" applyFont="1" applyFill="1" applyBorder="1" applyAlignment="1">
      <alignment horizontal="center" vertical="center" wrapText="1"/>
    </xf>
    <xf numFmtId="44" fontId="5" fillId="16" borderId="2" xfId="3" applyFont="1" applyFill="1" applyBorder="1" applyAlignment="1">
      <alignment horizontal="center" vertical="center" wrapText="1"/>
    </xf>
    <xf numFmtId="44" fontId="42" fillId="25" borderId="2" xfId="3" applyFont="1" applyFill="1" applyBorder="1" applyAlignment="1">
      <alignment horizontal="center" vertical="center" wrapText="1"/>
    </xf>
    <xf numFmtId="3" fontId="42" fillId="25" borderId="2" xfId="0" applyNumberFormat="1" applyFont="1" applyFill="1" applyBorder="1" applyAlignment="1">
      <alignment horizontal="center" vertical="center" wrapText="1"/>
    </xf>
    <xf numFmtId="0" fontId="8" fillId="0" borderId="2" xfId="5"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1" fontId="35" fillId="15" borderId="11" xfId="1" applyNumberFormat="1" applyFont="1" applyFill="1" applyBorder="1" applyAlignment="1">
      <alignment horizontal="center" vertical="center" wrapText="1"/>
    </xf>
    <xf numFmtId="165" fontId="5" fillId="0" borderId="10" xfId="1" applyNumberFormat="1" applyFont="1" applyFill="1" applyBorder="1" applyAlignment="1">
      <alignment horizontal="center" vertical="center" wrapText="1"/>
    </xf>
    <xf numFmtId="166" fontId="5" fillId="15" borderId="11" xfId="4" applyNumberFormat="1" applyFont="1" applyFill="1" applyBorder="1" applyAlignment="1">
      <alignment horizontal="center" vertical="center" wrapText="1"/>
    </xf>
    <xf numFmtId="6" fontId="5" fillId="15" borderId="11" xfId="4"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166" fontId="35" fillId="0" borderId="2" xfId="0"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5" fillId="0" borderId="9" xfId="1" applyNumberFormat="1" applyFont="1" applyFill="1" applyBorder="1" applyAlignment="1">
      <alignment horizontal="center" vertical="center" wrapText="1"/>
    </xf>
    <xf numFmtId="9" fontId="5" fillId="15" borderId="11" xfId="4" applyFont="1" applyFill="1" applyBorder="1" applyAlignment="1">
      <alignment horizontal="center" vertical="center" wrapText="1"/>
    </xf>
    <xf numFmtId="166" fontId="5" fillId="16" borderId="2" xfId="4"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65" fontId="5" fillId="2" borderId="10" xfId="1" applyNumberFormat="1" applyFont="1" applyFill="1" applyBorder="1" applyAlignment="1">
      <alignment horizontal="center" vertical="center" wrapText="1"/>
    </xf>
    <xf numFmtId="165" fontId="5" fillId="2" borderId="11" xfId="1" applyNumberFormat="1" applyFont="1" applyFill="1" applyBorder="1" applyAlignment="1">
      <alignment horizontal="center" vertical="center" wrapText="1"/>
    </xf>
    <xf numFmtId="9" fontId="9" fillId="0" borderId="11" xfId="4" applyFont="1" applyFill="1" applyBorder="1" applyAlignment="1" applyProtection="1">
      <alignment horizontal="center" vertical="center" wrapText="1"/>
    </xf>
    <xf numFmtId="9" fontId="9" fillId="0" borderId="21" xfId="4" applyFont="1" applyFill="1" applyBorder="1" applyAlignment="1" applyProtection="1">
      <alignment horizontal="center" vertical="center" wrapText="1"/>
    </xf>
    <xf numFmtId="9" fontId="9" fillId="0" borderId="17" xfId="4" applyFont="1" applyFill="1" applyBorder="1" applyAlignment="1" applyProtection="1">
      <alignment horizontal="center" vertical="center" wrapText="1"/>
    </xf>
    <xf numFmtId="9" fontId="9" fillId="0" borderId="9" xfId="4" applyFont="1" applyFill="1" applyBorder="1" applyAlignment="1" applyProtection="1">
      <alignment horizontal="center" vertical="center" wrapText="1"/>
    </xf>
    <xf numFmtId="44" fontId="9" fillId="23" borderId="2" xfId="3" applyFont="1" applyFill="1" applyBorder="1" applyAlignment="1" applyProtection="1">
      <alignment horizontal="center" vertical="center" wrapText="1"/>
    </xf>
    <xf numFmtId="44" fontId="9" fillId="15" borderId="11" xfId="3" applyFont="1" applyFill="1" applyBorder="1" applyAlignment="1" applyProtection="1">
      <alignment horizontal="center" vertical="center" wrapText="1"/>
    </xf>
    <xf numFmtId="44" fontId="9" fillId="16" borderId="2" xfId="3" applyFont="1" applyFill="1" applyBorder="1" applyAlignment="1" applyProtection="1">
      <alignment horizontal="center" vertical="center" wrapText="1"/>
    </xf>
    <xf numFmtId="44" fontId="8" fillId="0" borderId="2" xfId="3"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1" fontId="5" fillId="15" borderId="11" xfId="1" applyNumberFormat="1" applyFont="1" applyFill="1" applyBorder="1" applyAlignment="1" applyProtection="1">
      <alignment horizontal="center" vertical="center" wrapText="1"/>
    </xf>
    <xf numFmtId="3" fontId="5" fillId="16" borderId="2" xfId="0" applyNumberFormat="1" applyFont="1" applyFill="1" applyBorder="1" applyAlignment="1" applyProtection="1">
      <alignment horizontal="center" vertical="center" wrapText="1"/>
    </xf>
    <xf numFmtId="0" fontId="44" fillId="0" borderId="2" xfId="0" applyFont="1" applyFill="1" applyBorder="1" applyAlignment="1" applyProtection="1">
      <alignment horizontal="center" vertical="center" wrapText="1"/>
    </xf>
    <xf numFmtId="0" fontId="5" fillId="16"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3" fontId="5" fillId="15" borderId="2" xfId="1" applyNumberFormat="1" applyFont="1" applyFill="1" applyBorder="1" applyAlignment="1" applyProtection="1">
      <alignment horizontal="center" vertical="center" wrapText="1"/>
    </xf>
    <xf numFmtId="1" fontId="5" fillId="16" borderId="2" xfId="0" applyNumberFormat="1" applyFont="1" applyFill="1" applyBorder="1" applyAlignment="1" applyProtection="1">
      <alignment horizontal="center" vertical="center" wrapText="1"/>
    </xf>
    <xf numFmtId="173" fontId="5" fillId="15" borderId="11" xfId="3" applyNumberFormat="1" applyFont="1" applyFill="1" applyBorder="1" applyAlignment="1" applyProtection="1">
      <alignment horizontal="center" vertical="center" wrapText="1"/>
    </xf>
    <xf numFmtId="174" fontId="5" fillId="16" borderId="2" xfId="3" applyNumberFormat="1"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174" fontId="35" fillId="0" borderId="2" xfId="3" applyNumberFormat="1" applyFont="1" applyFill="1" applyBorder="1" applyAlignment="1" applyProtection="1">
      <alignment horizontal="center" vertical="center" wrapText="1"/>
    </xf>
    <xf numFmtId="174" fontId="8" fillId="22" borderId="2" xfId="3" applyNumberFormat="1" applyFont="1" applyFill="1" applyBorder="1" applyAlignment="1" applyProtection="1">
      <alignment horizontal="center" vertical="center" wrapText="1"/>
    </xf>
    <xf numFmtId="3" fontId="35" fillId="0" borderId="0" xfId="0" applyNumberFormat="1" applyFont="1" applyFill="1" applyBorder="1" applyAlignment="1" applyProtection="1">
      <alignment horizontal="center" vertical="center" wrapText="1"/>
    </xf>
    <xf numFmtId="10" fontId="44" fillId="15" borderId="2" xfId="5"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9" fontId="44" fillId="0" borderId="2" xfId="5" applyNumberFormat="1" applyFont="1" applyFill="1" applyBorder="1" applyAlignment="1" applyProtection="1">
      <alignment horizontal="center" vertical="center" wrapText="1"/>
    </xf>
    <xf numFmtId="166" fontId="5" fillId="15" borderId="2" xfId="4" applyNumberFormat="1" applyFont="1" applyFill="1" applyBorder="1" applyAlignment="1">
      <alignment horizontal="center" vertical="center" wrapText="1"/>
    </xf>
    <xf numFmtId="10" fontId="5" fillId="15" borderId="2" xfId="4" applyNumberFormat="1" applyFont="1" applyFill="1" applyBorder="1" applyAlignment="1">
      <alignment horizontal="center" vertical="center" wrapText="1"/>
    </xf>
    <xf numFmtId="9" fontId="44" fillId="0" borderId="2" xfId="5" applyNumberFormat="1" applyFont="1" applyFill="1" applyBorder="1" applyAlignment="1">
      <alignment horizontal="center" vertical="center" wrapText="1"/>
    </xf>
    <xf numFmtId="166" fontId="58" fillId="0" borderId="2" xfId="4" applyNumberFormat="1" applyFont="1" applyFill="1" applyBorder="1" applyAlignment="1" applyProtection="1">
      <alignment horizontal="center" vertical="center"/>
      <protection locked="0"/>
    </xf>
    <xf numFmtId="10" fontId="35" fillId="0" borderId="2" xfId="4" applyNumberFormat="1" applyFont="1" applyFill="1" applyBorder="1" applyAlignment="1">
      <alignment horizontal="center" vertical="center" wrapText="1"/>
    </xf>
    <xf numFmtId="9" fontId="5" fillId="15" borderId="2" xfId="4"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165" fontId="57" fillId="0" borderId="2" xfId="1"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22" borderId="2" xfId="0" applyNumberFormat="1" applyFont="1" applyFill="1" applyBorder="1" applyAlignment="1">
      <alignment horizontal="center" vertical="center" wrapText="1"/>
    </xf>
    <xf numFmtId="9" fontId="9" fillId="0" borderId="2" xfId="4" applyFont="1" applyBorder="1" applyAlignment="1">
      <alignment horizontal="center" vertical="center" wrapText="1"/>
    </xf>
    <xf numFmtId="0" fontId="5" fillId="2" borderId="2" xfId="0" applyFont="1" applyFill="1" applyBorder="1" applyAlignment="1">
      <alignment horizontal="left" vertical="center" wrapText="1"/>
    </xf>
    <xf numFmtId="1" fontId="8" fillId="8" borderId="2" xfId="0" applyNumberFormat="1" applyFont="1" applyFill="1" applyBorder="1" applyAlignment="1">
      <alignment horizontal="center" vertical="center" wrapText="1"/>
    </xf>
    <xf numFmtId="10" fontId="5" fillId="15" borderId="2" xfId="0" applyNumberFormat="1" applyFont="1" applyFill="1" applyBorder="1" applyAlignment="1">
      <alignment horizontal="center" vertical="center" wrapText="1"/>
    </xf>
    <xf numFmtId="9" fontId="5" fillId="15" borderId="2" xfId="0" applyNumberFormat="1" applyFont="1" applyFill="1" applyBorder="1" applyAlignment="1">
      <alignment horizontal="center" vertical="center" wrapText="1"/>
    </xf>
    <xf numFmtId="9" fontId="5" fillId="16" borderId="2" xfId="1" applyNumberFormat="1" applyFont="1" applyFill="1" applyBorder="1" applyAlignment="1">
      <alignment horizontal="center" vertical="center" wrapText="1"/>
    </xf>
    <xf numFmtId="9" fontId="35" fillId="2" borderId="2" xfId="4" applyFont="1" applyFill="1" applyBorder="1" applyAlignment="1">
      <alignment horizontal="center" vertical="center" wrapText="1"/>
    </xf>
    <xf numFmtId="9" fontId="35" fillId="2" borderId="2" xfId="4" applyFont="1" applyFill="1" applyBorder="1" applyAlignment="1" applyProtection="1">
      <alignment horizontal="center" vertical="center" wrapText="1"/>
    </xf>
    <xf numFmtId="174" fontId="9" fillId="23" borderId="2" xfId="3" applyNumberFormat="1" applyFont="1" applyFill="1" applyBorder="1" applyAlignment="1">
      <alignment horizontal="center" vertical="center" wrapText="1"/>
    </xf>
    <xf numFmtId="174" fontId="9" fillId="16" borderId="2" xfId="3" applyNumberFormat="1" applyFont="1" applyFill="1" applyBorder="1" applyAlignment="1">
      <alignment horizontal="center" vertical="center" wrapText="1"/>
    </xf>
    <xf numFmtId="9" fontId="5" fillId="15" borderId="2" xfId="2" applyNumberFormat="1" applyFont="1" applyFill="1" applyBorder="1" applyAlignment="1">
      <alignment horizontal="center" vertical="center" wrapText="1"/>
    </xf>
    <xf numFmtId="9" fontId="35" fillId="2" borderId="2" xfId="2" applyNumberFormat="1" applyFont="1" applyFill="1" applyBorder="1" applyAlignment="1">
      <alignment horizontal="center" vertical="center" wrapText="1"/>
    </xf>
    <xf numFmtId="1" fontId="5" fillId="16" borderId="2" xfId="0" applyNumberFormat="1" applyFont="1" applyFill="1" applyBorder="1" applyAlignment="1">
      <alignment horizontal="center" vertical="center" wrapText="1"/>
    </xf>
    <xf numFmtId="0" fontId="5" fillId="16" borderId="2" xfId="0" applyFont="1" applyFill="1" applyBorder="1" applyAlignment="1">
      <alignment horizontal="center" vertical="center" wrapText="1"/>
    </xf>
    <xf numFmtId="166" fontId="5" fillId="20" borderId="2" xfId="4" applyNumberFormat="1" applyFont="1" applyFill="1" applyBorder="1" applyAlignment="1">
      <alignment horizontal="center" vertical="center" wrapText="1"/>
    </xf>
    <xf numFmtId="172" fontId="35" fillId="2" borderId="5" xfId="8" applyNumberFormat="1" applyFont="1" applyFill="1" applyBorder="1" applyAlignment="1">
      <alignment horizontal="center" vertical="center" wrapText="1"/>
    </xf>
    <xf numFmtId="172" fontId="5" fillId="2" borderId="5" xfId="8" applyNumberFormat="1" applyFont="1" applyFill="1" applyBorder="1" applyAlignment="1">
      <alignment horizontal="center" vertical="center" wrapText="1"/>
    </xf>
    <xf numFmtId="9" fontId="42" fillId="0" borderId="2" xfId="4" applyFont="1" applyFill="1" applyBorder="1" applyAlignment="1">
      <alignment horizontal="center" vertical="center" wrapText="1"/>
    </xf>
    <xf numFmtId="172" fontId="35" fillId="2" borderId="10" xfId="8" applyNumberFormat="1" applyFont="1" applyFill="1" applyBorder="1" applyAlignment="1">
      <alignment horizontal="center" vertical="center" wrapText="1"/>
    </xf>
    <xf numFmtId="172" fontId="5" fillId="2" borderId="10" xfId="8" applyNumberFormat="1" applyFont="1" applyFill="1" applyBorder="1" applyAlignment="1">
      <alignment horizontal="center" vertical="center" wrapText="1"/>
    </xf>
    <xf numFmtId="172" fontId="35" fillId="2" borderId="11" xfId="8" applyNumberFormat="1" applyFont="1" applyFill="1" applyBorder="1" applyAlignment="1">
      <alignment horizontal="center" vertical="center" wrapText="1"/>
    </xf>
    <xf numFmtId="172" fontId="5" fillId="2" borderId="11" xfId="8" applyNumberFormat="1" applyFont="1" applyFill="1" applyBorder="1" applyAlignment="1">
      <alignment horizontal="center" vertical="center" wrapText="1"/>
    </xf>
    <xf numFmtId="9" fontId="5" fillId="0" borderId="11" xfId="4" applyFont="1" applyBorder="1" applyAlignment="1" applyProtection="1">
      <alignment horizontal="center" vertical="center" wrapText="1"/>
    </xf>
    <xf numFmtId="0" fontId="44" fillId="15" borderId="2" xfId="0" applyFont="1" applyFill="1" applyBorder="1" applyAlignment="1">
      <alignment horizontal="center" vertical="center" wrapText="1"/>
    </xf>
    <xf numFmtId="3" fontId="35" fillId="0" borderId="2" xfId="1"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 fontId="35" fillId="0" borderId="2" xfId="4" applyNumberFormat="1" applyFont="1" applyFill="1" applyBorder="1" applyAlignment="1">
      <alignment horizontal="center" vertical="center" wrapText="1"/>
    </xf>
    <xf numFmtId="43" fontId="42" fillId="0" borderId="2" xfId="1" applyFont="1" applyFill="1" applyBorder="1" applyAlignment="1">
      <alignment horizontal="center" vertical="center" wrapText="1"/>
    </xf>
    <xf numFmtId="43" fontId="35" fillId="0" borderId="2" xfId="1" applyFont="1" applyFill="1" applyBorder="1" applyAlignment="1">
      <alignment horizontal="center" vertical="center" wrapText="1"/>
    </xf>
    <xf numFmtId="3" fontId="44" fillId="15" borderId="2" xfId="0" applyNumberFormat="1" applyFont="1" applyFill="1" applyBorder="1" applyAlignment="1" applyProtection="1">
      <alignment horizontal="center" vertical="center"/>
      <protection locked="0"/>
    </xf>
    <xf numFmtId="1" fontId="5" fillId="15" borderId="11" xfId="4" applyNumberFormat="1" applyFont="1" applyFill="1" applyBorder="1" applyAlignment="1">
      <alignment horizontal="center" vertical="center" wrapText="1"/>
    </xf>
    <xf numFmtId="1" fontId="5" fillId="16" borderId="2" xfId="4"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10" fontId="5" fillId="15" borderId="11" xfId="4" applyNumberFormat="1" applyFont="1" applyFill="1" applyBorder="1" applyAlignment="1">
      <alignment horizontal="center" vertical="center" wrapText="1"/>
    </xf>
    <xf numFmtId="10" fontId="5" fillId="23" borderId="2" xfId="4" applyNumberFormat="1" applyFont="1" applyFill="1" applyBorder="1" applyAlignment="1">
      <alignment horizontal="center" vertical="center" wrapText="1"/>
    </xf>
    <xf numFmtId="10" fontId="5" fillId="16" borderId="2" xfId="4" applyNumberFormat="1" applyFont="1" applyFill="1" applyBorder="1" applyAlignment="1">
      <alignment horizontal="center" vertical="center" wrapText="1"/>
    </xf>
    <xf numFmtId="9" fontId="9" fillId="0" borderId="2" xfId="4" applyFont="1" applyFill="1" applyBorder="1" applyAlignment="1" applyProtection="1">
      <alignment horizontal="center" vertical="center" wrapText="1"/>
    </xf>
    <xf numFmtId="3" fontId="5" fillId="0" borderId="0" xfId="0" applyNumberFormat="1" applyFont="1" applyFill="1" applyBorder="1" applyAlignment="1" applyProtection="1">
      <alignment vertical="center" textRotation="90" wrapText="1"/>
    </xf>
    <xf numFmtId="0" fontId="6" fillId="0" borderId="0" xfId="5" applyFont="1" applyFill="1" applyBorder="1" applyAlignment="1" applyProtection="1">
      <alignment vertical="center" wrapText="1"/>
    </xf>
    <xf numFmtId="0" fontId="5" fillId="0" borderId="0" xfId="0" applyFont="1" applyFill="1" applyBorder="1" applyAlignment="1" applyProtection="1">
      <alignment vertical="center" textRotation="90" wrapText="1"/>
    </xf>
    <xf numFmtId="1" fontId="5" fillId="15" borderId="2" xfId="1" applyNumberFormat="1" applyFont="1" applyFill="1" applyBorder="1" applyAlignment="1" applyProtection="1">
      <alignment horizontal="center" vertical="center" wrapText="1"/>
    </xf>
    <xf numFmtId="3" fontId="35" fillId="25" borderId="2" xfId="0" applyNumberFormat="1" applyFont="1" applyFill="1" applyBorder="1" applyAlignment="1" applyProtection="1">
      <alignment horizontal="center" vertical="center" wrapText="1"/>
    </xf>
    <xf numFmtId="175" fontId="9" fillId="0" borderId="0" xfId="4" applyNumberFormat="1" applyFont="1" applyFill="1" applyBorder="1" applyAlignment="1" applyProtection="1">
      <alignment horizontal="center" vertical="center" wrapText="1"/>
    </xf>
    <xf numFmtId="9" fontId="9" fillId="0" borderId="16" xfId="4" applyFont="1" applyFill="1" applyBorder="1" applyAlignment="1" applyProtection="1">
      <alignment horizontal="center" vertical="center" wrapText="1"/>
    </xf>
    <xf numFmtId="9" fontId="9" fillId="0" borderId="19" xfId="4" applyFont="1" applyFill="1" applyBorder="1" applyAlignment="1" applyProtection="1">
      <alignment horizontal="center" vertical="center" wrapText="1"/>
    </xf>
    <xf numFmtId="165" fontId="9" fillId="0" borderId="0" xfId="1" applyNumberFormat="1" applyFont="1" applyFill="1" applyBorder="1" applyAlignment="1" applyProtection="1">
      <alignment vertical="center" wrapText="1"/>
    </xf>
    <xf numFmtId="165" fontId="57" fillId="0" borderId="0" xfId="1" applyNumberFormat="1" applyFont="1" applyFill="1" applyBorder="1" applyAlignment="1" applyProtection="1">
      <alignment vertical="center" wrapText="1"/>
    </xf>
    <xf numFmtId="9" fontId="35" fillId="0" borderId="19" xfId="4" applyFont="1" applyBorder="1" applyAlignment="1">
      <alignment horizontal="center" vertical="center" wrapText="1"/>
    </xf>
    <xf numFmtId="165" fontId="5" fillId="0" borderId="5" xfId="1" applyNumberFormat="1" applyFont="1" applyFill="1" applyBorder="1" applyAlignment="1">
      <alignment horizontal="center" vertical="center" wrapText="1"/>
    </xf>
    <xf numFmtId="165" fontId="5" fillId="0" borderId="11" xfId="1" applyNumberFormat="1" applyFont="1" applyFill="1" applyBorder="1" applyAlignment="1">
      <alignment horizontal="center" vertical="center" wrapText="1"/>
    </xf>
    <xf numFmtId="1" fontId="14" fillId="0" borderId="0" xfId="0" applyNumberFormat="1" applyFont="1" applyFill="1" applyAlignment="1" applyProtection="1">
      <alignment horizontal="center" vertical="center" textRotation="90"/>
    </xf>
    <xf numFmtId="1" fontId="15" fillId="0" borderId="0" xfId="0" applyNumberFormat="1" applyFont="1" applyFill="1" applyAlignment="1" applyProtection="1">
      <alignment horizontal="center" vertical="center" textRotation="90"/>
    </xf>
    <xf numFmtId="9" fontId="9" fillId="0" borderId="0" xfId="4" applyFont="1" applyFill="1" applyBorder="1" applyAlignment="1" applyProtection="1">
      <alignment vertical="center" wrapText="1"/>
    </xf>
    <xf numFmtId="9" fontId="50" fillId="0" borderId="2" xfId="4" applyFont="1" applyBorder="1" applyAlignment="1" applyProtection="1">
      <alignment horizontal="center" vertical="center" wrapText="1"/>
    </xf>
    <xf numFmtId="9" fontId="50" fillId="0" borderId="16" xfId="4" applyFont="1" applyBorder="1" applyAlignment="1" applyProtection="1">
      <alignment horizontal="center" vertical="center" wrapText="1"/>
    </xf>
    <xf numFmtId="0" fontId="35" fillId="22" borderId="2" xfId="0" applyFont="1" applyFill="1" applyBorder="1" applyAlignment="1" applyProtection="1">
      <alignment horizontal="center" vertical="center" wrapText="1"/>
    </xf>
    <xf numFmtId="1" fontId="63" fillId="0" borderId="0" xfId="0" applyNumberFormat="1" applyFont="1" applyFill="1" applyBorder="1" applyAlignment="1" applyProtection="1">
      <alignment horizontal="center" vertical="center" wrapText="1"/>
    </xf>
    <xf numFmtId="1" fontId="5" fillId="0" borderId="0" xfId="0" applyNumberFormat="1" applyFont="1" applyFill="1" applyAlignment="1" applyProtection="1">
      <alignment horizontal="center" vertical="center" wrapText="1"/>
    </xf>
    <xf numFmtId="1" fontId="5" fillId="2" borderId="0" xfId="0" applyNumberFormat="1" applyFont="1" applyFill="1" applyBorder="1" applyAlignment="1" applyProtection="1">
      <alignment horizontal="center" vertical="center" wrapText="1"/>
    </xf>
    <xf numFmtId="1" fontId="41" fillId="2" borderId="0" xfId="0" applyNumberFormat="1" applyFont="1" applyFill="1" applyBorder="1" applyAlignment="1" applyProtection="1">
      <alignment horizontal="center" vertical="center" wrapText="1"/>
    </xf>
    <xf numFmtId="1" fontId="24" fillId="2" borderId="0" xfId="0" applyNumberFormat="1" applyFont="1" applyFill="1" applyBorder="1" applyAlignment="1" applyProtection="1">
      <alignment horizontal="center" vertical="center" wrapText="1"/>
    </xf>
    <xf numFmtId="0" fontId="9" fillId="2" borderId="0" xfId="0" applyFont="1" applyFill="1" applyBorder="1" applyAlignment="1" applyProtection="1">
      <alignment horizontal="center" vertical="center" textRotation="90" wrapText="1"/>
    </xf>
    <xf numFmtId="1" fontId="14" fillId="2" borderId="0" xfId="0" applyNumberFormat="1" applyFont="1" applyFill="1" applyAlignment="1" applyProtection="1">
      <alignment horizontal="center" vertical="center" wrapText="1"/>
    </xf>
    <xf numFmtId="1" fontId="15" fillId="2" borderId="0" xfId="0" applyNumberFormat="1" applyFont="1" applyFill="1" applyAlignment="1" applyProtection="1">
      <alignment horizontal="center" vertical="center" wrapText="1"/>
    </xf>
    <xf numFmtId="0" fontId="35" fillId="2" borderId="0" xfId="0" applyFont="1" applyFill="1" applyAlignment="1" applyProtection="1">
      <alignment horizontal="center" vertical="center" textRotation="90" wrapText="1"/>
    </xf>
    <xf numFmtId="0" fontId="8" fillId="2" borderId="0" xfId="5" applyFont="1" applyFill="1" applyBorder="1" applyAlignment="1">
      <alignment horizontal="left" vertical="center" wrapText="1"/>
    </xf>
    <xf numFmtId="1" fontId="8" fillId="0" borderId="6" xfId="4" applyNumberFormat="1" applyFont="1" applyFill="1" applyBorder="1" applyAlignment="1" applyProtection="1">
      <alignment horizontal="center" vertical="center" wrapText="1"/>
    </xf>
    <xf numFmtId="1" fontId="8" fillId="0" borderId="21" xfId="4" applyNumberFormat="1" applyFont="1" applyFill="1" applyBorder="1" applyAlignment="1" applyProtection="1">
      <alignment horizontal="center" vertical="center" wrapText="1"/>
    </xf>
    <xf numFmtId="1" fontId="8" fillId="2" borderId="30" xfId="4" applyNumberFormat="1" applyFont="1" applyFill="1" applyBorder="1" applyAlignment="1">
      <alignment horizontal="center" vertical="center" wrapText="1"/>
    </xf>
    <xf numFmtId="1" fontId="8" fillId="2" borderId="31" xfId="4" applyNumberFormat="1" applyFont="1" applyFill="1" applyBorder="1" applyAlignment="1">
      <alignment horizontal="center" vertical="center" wrapText="1"/>
    </xf>
    <xf numFmtId="166" fontId="9" fillId="27" borderId="6" xfId="4" applyNumberFormat="1" applyFont="1" applyFill="1" applyBorder="1" applyAlignment="1">
      <alignment horizontal="center" vertical="center" wrapText="1"/>
    </xf>
    <xf numFmtId="3" fontId="9" fillId="0" borderId="6" xfId="5" applyNumberFormat="1" applyFont="1" applyFill="1" applyBorder="1" applyAlignment="1">
      <alignment horizontal="center" vertical="center" wrapText="1"/>
    </xf>
    <xf numFmtId="9" fontId="9" fillId="0" borderId="32" xfId="4" applyFont="1" applyFill="1" applyBorder="1" applyAlignment="1">
      <alignment horizontal="center" vertical="center" wrapText="1"/>
    </xf>
    <xf numFmtId="9" fontId="9" fillId="0" borderId="33" xfId="4" applyFont="1" applyFill="1" applyBorder="1" applyAlignment="1">
      <alignment horizontal="center" vertical="center" wrapText="1"/>
    </xf>
    <xf numFmtId="1" fontId="3" fillId="2" borderId="0" xfId="0" applyNumberFormat="1" applyFont="1" applyFill="1" applyAlignment="1" applyProtection="1">
      <alignment horizontal="center" vertical="center" wrapText="1"/>
    </xf>
    <xf numFmtId="1" fontId="4" fillId="2" borderId="0" xfId="0" applyNumberFormat="1" applyFont="1" applyFill="1" applyAlignment="1" applyProtection="1">
      <alignment horizontal="center" vertical="center" wrapText="1"/>
    </xf>
    <xf numFmtId="9" fontId="8" fillId="2" borderId="0" xfId="0" applyNumberFormat="1" applyFont="1" applyFill="1" applyAlignment="1" applyProtection="1">
      <alignment horizontal="center" vertical="center" wrapText="1"/>
    </xf>
    <xf numFmtId="166" fontId="8" fillId="3" borderId="6" xfId="4"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9" fontId="8" fillId="3" borderId="6" xfId="4" applyFont="1" applyFill="1" applyBorder="1" applyAlignment="1">
      <alignment horizontal="center" vertical="center" wrapText="1"/>
    </xf>
    <xf numFmtId="9" fontId="8" fillId="3" borderId="21" xfId="4" applyFont="1" applyFill="1" applyBorder="1" applyAlignment="1">
      <alignment horizontal="center" vertical="center" wrapText="1"/>
    </xf>
    <xf numFmtId="1" fontId="57" fillId="2" borderId="0" xfId="0" applyNumberFormat="1" applyFont="1" applyFill="1" applyAlignment="1" applyProtection="1">
      <alignment horizontal="center" vertical="center" wrapText="1"/>
    </xf>
    <xf numFmtId="0" fontId="65" fillId="2" borderId="0" xfId="0" applyFont="1" applyFill="1" applyAlignment="1" applyProtection="1">
      <alignment horizontal="center" vertical="center" textRotation="90" wrapText="1"/>
    </xf>
    <xf numFmtId="0" fontId="65" fillId="2" borderId="0" xfId="0" applyFont="1" applyFill="1" applyAlignment="1" applyProtection="1">
      <alignment horizontal="center" vertical="center" wrapText="1"/>
    </xf>
    <xf numFmtId="0" fontId="57" fillId="2" borderId="0" xfId="0" applyFont="1" applyFill="1" applyAlignment="1" applyProtection="1">
      <alignment horizontal="center" vertical="center" wrapText="1"/>
    </xf>
    <xf numFmtId="9" fontId="57" fillId="2" borderId="0" xfId="0" applyNumberFormat="1" applyFont="1" applyFill="1" applyAlignment="1" applyProtection="1">
      <alignment horizontal="center" vertical="center" wrapText="1"/>
    </xf>
    <xf numFmtId="166" fontId="57" fillId="27" borderId="6" xfId="4" applyNumberFormat="1" applyFont="1" applyFill="1" applyBorder="1" applyAlignment="1">
      <alignment horizontal="center" vertical="center" wrapText="1"/>
    </xf>
    <xf numFmtId="3" fontId="57" fillId="0" borderId="6" xfId="5" applyNumberFormat="1" applyFont="1" applyFill="1" applyBorder="1" applyAlignment="1">
      <alignment horizontal="center" vertical="center" wrapText="1"/>
    </xf>
    <xf numFmtId="9" fontId="57" fillId="0" borderId="6" xfId="4" applyFont="1" applyFill="1" applyBorder="1" applyAlignment="1">
      <alignment horizontal="center" vertical="center" wrapText="1"/>
    </xf>
    <xf numFmtId="9" fontId="57" fillId="0" borderId="21" xfId="4" applyFont="1" applyFill="1" applyBorder="1" applyAlignment="1">
      <alignment horizontal="center" vertical="center" wrapText="1"/>
    </xf>
    <xf numFmtId="0" fontId="65" fillId="0" borderId="0" xfId="0"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6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xf>
    <xf numFmtId="0" fontId="57" fillId="3" borderId="0" xfId="0" applyFont="1" applyFill="1" applyAlignment="1" applyProtection="1">
      <alignment horizontal="center" vertical="center" wrapText="1"/>
    </xf>
    <xf numFmtId="166" fontId="9" fillId="27" borderId="18" xfId="4" applyNumberFormat="1" applyFont="1" applyFill="1" applyBorder="1" applyAlignment="1">
      <alignment horizontal="center" vertical="center" wrapText="1"/>
    </xf>
    <xf numFmtId="3" fontId="9" fillId="0" borderId="18" xfId="5" applyNumberFormat="1" applyFont="1" applyFill="1" applyBorder="1" applyAlignment="1">
      <alignment horizontal="center" vertical="center" wrapText="1"/>
    </xf>
    <xf numFmtId="9" fontId="9" fillId="0" borderId="18"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8" fillId="3" borderId="18" xfId="4" applyFont="1" applyFill="1" applyBorder="1" applyAlignment="1">
      <alignment horizontal="center" vertical="center" wrapText="1"/>
    </xf>
    <xf numFmtId="9" fontId="8" fillId="3" borderId="16" xfId="4" applyFont="1" applyFill="1" applyBorder="1" applyAlignment="1">
      <alignment horizontal="center" vertical="center" wrapText="1"/>
    </xf>
    <xf numFmtId="166" fontId="8" fillId="3" borderId="0" xfId="4"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166" fontId="57" fillId="27" borderId="30" xfId="4" applyNumberFormat="1" applyFont="1" applyFill="1" applyBorder="1" applyAlignment="1">
      <alignment horizontal="center" vertical="center" wrapText="1"/>
    </xf>
    <xf numFmtId="3" fontId="57" fillId="0" borderId="34" xfId="5" applyNumberFormat="1" applyFont="1" applyFill="1" applyBorder="1" applyAlignment="1">
      <alignment horizontal="center" vertical="center" wrapText="1"/>
    </xf>
    <xf numFmtId="9" fontId="57" fillId="0" borderId="30" xfId="4" applyFont="1" applyFill="1" applyBorder="1" applyAlignment="1">
      <alignment horizontal="center" vertical="center" wrapText="1"/>
    </xf>
    <xf numFmtId="9" fontId="57" fillId="0" borderId="31" xfId="4" applyFont="1" applyFill="1" applyBorder="1" applyAlignment="1">
      <alignment horizontal="center" vertical="center" wrapText="1"/>
    </xf>
    <xf numFmtId="9" fontId="9" fillId="27" borderId="32" xfId="4" applyFont="1" applyFill="1" applyBorder="1" applyAlignment="1">
      <alignment horizontal="center" vertical="center" wrapText="1"/>
    </xf>
    <xf numFmtId="9" fontId="9" fillId="27" borderId="33" xfId="4" applyFont="1" applyFill="1" applyBorder="1" applyAlignment="1">
      <alignment horizontal="center" vertical="center" wrapText="1"/>
    </xf>
    <xf numFmtId="9" fontId="8" fillId="27" borderId="30" xfId="4" applyFont="1" applyFill="1" applyBorder="1" applyAlignment="1">
      <alignment horizontal="center" vertical="center" wrapText="1"/>
    </xf>
    <xf numFmtId="9" fontId="8" fillId="27" borderId="31" xfId="4" applyFont="1" applyFill="1" applyBorder="1" applyAlignment="1">
      <alignment horizontal="center" vertical="center" wrapText="1"/>
    </xf>
    <xf numFmtId="9" fontId="9" fillId="28" borderId="6" xfId="4" applyFont="1" applyFill="1" applyBorder="1" applyAlignment="1">
      <alignment horizontal="center" vertical="center" wrapText="1"/>
    </xf>
    <xf numFmtId="9" fontId="9" fillId="28" borderId="21" xfId="4" applyFont="1" applyFill="1" applyBorder="1" applyAlignment="1">
      <alignment horizontal="center" vertical="center" wrapText="1"/>
    </xf>
    <xf numFmtId="9" fontId="8" fillId="28" borderId="30" xfId="4" applyFont="1" applyFill="1" applyBorder="1" applyAlignment="1">
      <alignment horizontal="center" vertical="center" wrapText="1"/>
    </xf>
    <xf numFmtId="9" fontId="8" fillId="28" borderId="36" xfId="4" applyFont="1" applyFill="1" applyBorder="1" applyAlignment="1">
      <alignment horizontal="center" vertical="center" wrapText="1"/>
    </xf>
    <xf numFmtId="166" fontId="9" fillId="3" borderId="6" xfId="4" applyNumberFormat="1" applyFont="1" applyFill="1" applyBorder="1" applyAlignment="1">
      <alignment horizontal="center" vertical="center" wrapText="1"/>
    </xf>
    <xf numFmtId="3" fontId="9" fillId="3" borderId="6" xfId="5" applyNumberFormat="1" applyFont="1" applyFill="1" applyBorder="1" applyAlignment="1">
      <alignment horizontal="center" vertical="center" wrapText="1"/>
    </xf>
    <xf numFmtId="9" fontId="9" fillId="3" borderId="6" xfId="4" applyFont="1" applyFill="1" applyBorder="1" applyAlignment="1">
      <alignment horizontal="center" vertical="center" wrapText="1"/>
    </xf>
    <xf numFmtId="9" fontId="9" fillId="3" borderId="21" xfId="4" applyFont="1" applyFill="1" applyBorder="1" applyAlignment="1">
      <alignment horizontal="center" vertical="center" wrapText="1"/>
    </xf>
    <xf numFmtId="9" fontId="9" fillId="0" borderId="6" xfId="4" applyFont="1" applyFill="1" applyBorder="1" applyAlignment="1">
      <alignment horizontal="center" vertical="center" wrapText="1"/>
    </xf>
    <xf numFmtId="9" fontId="9" fillId="0" borderId="21" xfId="4" applyFont="1" applyFill="1" applyBorder="1" applyAlignment="1">
      <alignment horizontal="center" vertical="center" wrapText="1"/>
    </xf>
    <xf numFmtId="9" fontId="9" fillId="3" borderId="18" xfId="4" applyFont="1" applyFill="1" applyBorder="1" applyAlignment="1">
      <alignment horizontal="center" vertical="center" wrapText="1"/>
    </xf>
    <xf numFmtId="9" fontId="9" fillId="3" borderId="16" xfId="4" applyFont="1" applyFill="1" applyBorder="1" applyAlignment="1">
      <alignment horizontal="center" vertical="center" wrapText="1"/>
    </xf>
    <xf numFmtId="166" fontId="9" fillId="3" borderId="0" xfId="4" applyNumberFormat="1" applyFont="1" applyFill="1" applyBorder="1" applyAlignment="1">
      <alignment horizontal="center" vertical="center" wrapText="1"/>
    </xf>
    <xf numFmtId="3" fontId="9" fillId="3" borderId="7" xfId="5" applyNumberFormat="1" applyFont="1" applyFill="1" applyBorder="1" applyAlignment="1">
      <alignment horizontal="center" vertical="center" wrapText="1"/>
    </xf>
    <xf numFmtId="1" fontId="14" fillId="3" borderId="0" xfId="0" applyNumberFormat="1" applyFont="1" applyFill="1" applyAlignment="1" applyProtection="1">
      <alignment horizontal="center" vertical="center" wrapText="1"/>
    </xf>
    <xf numFmtId="1" fontId="15" fillId="3" borderId="0" xfId="0" applyNumberFormat="1" applyFont="1" applyFill="1" applyAlignment="1" applyProtection="1">
      <alignment horizontal="center" vertical="center" wrapText="1"/>
    </xf>
    <xf numFmtId="0" fontId="5" fillId="3" borderId="0" xfId="0" applyFont="1" applyFill="1" applyAlignment="1" applyProtection="1">
      <alignment horizontal="center" vertical="center" textRotation="90" wrapText="1"/>
    </xf>
    <xf numFmtId="0" fontId="6" fillId="3" borderId="0" xfId="0" applyFont="1" applyFill="1" applyAlignment="1" applyProtection="1">
      <alignment horizontal="center" vertical="center" wrapText="1"/>
    </xf>
    <xf numFmtId="9" fontId="9" fillId="3" borderId="0" xfId="0" applyNumberFormat="1" applyFont="1" applyFill="1" applyAlignment="1" applyProtection="1">
      <alignment horizontal="center" vertical="center" wrapText="1"/>
    </xf>
    <xf numFmtId="0" fontId="21" fillId="0" borderId="0" xfId="5" applyFont="1" applyFill="1" applyBorder="1" applyAlignment="1" applyProtection="1">
      <alignment horizontal="left" vertical="center" wrapText="1"/>
    </xf>
    <xf numFmtId="0" fontId="28" fillId="0" borderId="0" xfId="5" applyFont="1" applyFill="1" applyBorder="1" applyAlignment="1" applyProtection="1">
      <alignment horizontal="left" vertical="center" wrapText="1"/>
    </xf>
    <xf numFmtId="3" fontId="21" fillId="0" borderId="0" xfId="5" applyNumberFormat="1" applyFont="1" applyFill="1" applyBorder="1" applyAlignment="1" applyProtection="1">
      <alignment horizontal="center" vertical="center" wrapText="1"/>
    </xf>
    <xf numFmtId="3" fontId="21" fillId="0" borderId="0" xfId="5" applyNumberFormat="1" applyFont="1" applyFill="1" applyBorder="1" applyAlignment="1" applyProtection="1">
      <alignment horizontal="left" vertical="center" wrapText="1"/>
    </xf>
    <xf numFmtId="9" fontId="21" fillId="0" borderId="0" xfId="4" applyFont="1" applyFill="1" applyBorder="1" applyAlignment="1" applyProtection="1">
      <alignment horizontal="center" vertical="center" wrapText="1"/>
    </xf>
    <xf numFmtId="0" fontId="21" fillId="0" borderId="0" xfId="5" applyFont="1" applyFill="1" applyBorder="1" applyAlignment="1" applyProtection="1">
      <alignment vertical="center" wrapText="1"/>
    </xf>
    <xf numFmtId="9" fontId="5" fillId="0" borderId="11" xfId="0" applyNumberFormat="1" applyFont="1" applyFill="1" applyBorder="1" applyAlignment="1" applyProtection="1">
      <alignment vertical="center" wrapText="1"/>
    </xf>
    <xf numFmtId="0" fontId="44" fillId="0" borderId="5" xfId="0" applyFont="1" applyFill="1" applyBorder="1" applyAlignment="1" applyProtection="1">
      <alignment horizontal="center" vertical="center" wrapText="1"/>
    </xf>
    <xf numFmtId="0" fontId="44" fillId="0" borderId="10"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10" xfId="0" applyNumberFormat="1"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textRotation="2" wrapText="1"/>
    </xf>
    <xf numFmtId="9" fontId="5" fillId="0" borderId="10" xfId="0" applyNumberFormat="1" applyFont="1" applyFill="1" applyBorder="1" applyAlignment="1" applyProtection="1">
      <alignment horizontal="center" vertical="center" textRotation="2" wrapText="1"/>
    </xf>
    <xf numFmtId="9" fontId="5" fillId="0" borderId="11" xfId="0" applyNumberFormat="1" applyFont="1" applyFill="1" applyBorder="1" applyAlignment="1" applyProtection="1">
      <alignment horizontal="center" vertical="center" textRotation="2" wrapText="1"/>
    </xf>
    <xf numFmtId="1" fontId="44" fillId="0" borderId="5" xfId="5" applyNumberFormat="1" applyFont="1" applyFill="1" applyBorder="1" applyAlignment="1" applyProtection="1">
      <alignment horizontal="center" vertical="center" wrapText="1"/>
    </xf>
    <xf numFmtId="1" fontId="44" fillId="0" borderId="10" xfId="5" applyNumberFormat="1" applyFont="1" applyFill="1" applyBorder="1" applyAlignment="1" applyProtection="1">
      <alignment horizontal="center" vertical="center" wrapText="1"/>
    </xf>
    <xf numFmtId="1" fontId="44" fillId="0" borderId="11" xfId="5" applyNumberFormat="1" applyFont="1" applyFill="1" applyBorder="1" applyAlignment="1" applyProtection="1">
      <alignment horizontal="center" vertical="center" wrapText="1"/>
    </xf>
    <xf numFmtId="9" fontId="44" fillId="2" borderId="5" xfId="4" applyFont="1" applyFill="1" applyBorder="1" applyAlignment="1" applyProtection="1">
      <alignment horizontal="center" vertical="center" wrapText="1"/>
    </xf>
    <xf numFmtId="9" fontId="44" fillId="2" borderId="10" xfId="4" applyFont="1" applyFill="1" applyBorder="1" applyAlignment="1" applyProtection="1">
      <alignment horizontal="center" vertical="center" wrapText="1"/>
    </xf>
    <xf numFmtId="9" fontId="44" fillId="2" borderId="11" xfId="4" applyFont="1" applyFill="1" applyBorder="1" applyAlignment="1" applyProtection="1">
      <alignment horizontal="center" vertical="center" wrapText="1"/>
    </xf>
    <xf numFmtId="9" fontId="5" fillId="0" borderId="5" xfId="4" applyFont="1" applyFill="1" applyBorder="1" applyAlignment="1" applyProtection="1">
      <alignment horizontal="center" vertical="center" wrapText="1"/>
    </xf>
    <xf numFmtId="9" fontId="5" fillId="0" borderId="10" xfId="4" applyFont="1" applyFill="1" applyBorder="1" applyAlignment="1" applyProtection="1">
      <alignment horizontal="center" vertical="center" wrapText="1"/>
    </xf>
    <xf numFmtId="9" fontId="5" fillId="0" borderId="11" xfId="4" applyFont="1" applyFill="1" applyBorder="1" applyAlignment="1" applyProtection="1">
      <alignment horizontal="center" vertical="center" wrapText="1"/>
    </xf>
    <xf numFmtId="0" fontId="43" fillId="0" borderId="5" xfId="6" applyFont="1" applyFill="1" applyBorder="1" applyAlignment="1" applyProtection="1">
      <alignment horizontal="center" vertical="center" wrapText="1"/>
    </xf>
    <xf numFmtId="0" fontId="43" fillId="0" borderId="10" xfId="6" applyFont="1" applyFill="1" applyBorder="1" applyAlignment="1" applyProtection="1">
      <alignment horizontal="center" vertical="center" wrapText="1"/>
    </xf>
    <xf numFmtId="0" fontId="43" fillId="0" borderId="11" xfId="6"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9" fontId="5" fillId="0" borderId="16" xfId="4" applyFont="1" applyBorder="1" applyAlignment="1">
      <alignment horizontal="center" vertical="center" wrapText="1"/>
    </xf>
    <xf numFmtId="9" fontId="5" fillId="0" borderId="18" xfId="4" applyFont="1" applyBorder="1" applyAlignment="1">
      <alignment horizontal="center" vertical="center" wrapText="1"/>
    </xf>
    <xf numFmtId="9" fontId="5" fillId="0" borderId="19" xfId="4" applyFont="1" applyBorder="1" applyAlignment="1">
      <alignment horizontal="center" vertical="center" wrapText="1"/>
    </xf>
    <xf numFmtId="0" fontId="8" fillId="8" borderId="5" xfId="5" applyFont="1" applyFill="1" applyBorder="1" applyAlignment="1" applyProtection="1">
      <alignment horizontal="center" vertical="center" wrapText="1"/>
    </xf>
    <xf numFmtId="0" fontId="8" fillId="8" borderId="10" xfId="5" applyFont="1" applyFill="1" applyBorder="1" applyAlignment="1" applyProtection="1">
      <alignment horizontal="center" vertical="center" wrapText="1"/>
    </xf>
    <xf numFmtId="0" fontId="8" fillId="8" borderId="11" xfId="5" applyFont="1" applyFill="1" applyBorder="1" applyAlignment="1" applyProtection="1">
      <alignment horizontal="center" vertical="center" wrapText="1"/>
    </xf>
    <xf numFmtId="0" fontId="20" fillId="18" borderId="16" xfId="0" applyFont="1" applyFill="1" applyBorder="1" applyAlignment="1" applyProtection="1">
      <alignment horizontal="center" vertical="center" wrapText="1"/>
    </xf>
    <xf numFmtId="0" fontId="20" fillId="18" borderId="19" xfId="0" applyFont="1" applyFill="1" applyBorder="1" applyAlignment="1" applyProtection="1">
      <alignment horizontal="center" vertical="center" wrapText="1"/>
    </xf>
    <xf numFmtId="0" fontId="20" fillId="18" borderId="18"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9" borderId="0" xfId="0" applyFont="1" applyFill="1" applyBorder="1" applyAlignment="1" applyProtection="1">
      <alignment horizontal="center" vertical="center" wrapText="1"/>
    </xf>
    <xf numFmtId="9" fontId="5" fillId="0" borderId="28" xfId="0" applyNumberFormat="1" applyFont="1" applyFill="1" applyBorder="1" applyAlignment="1" applyProtection="1">
      <alignment horizontal="center" vertical="center" wrapText="1"/>
    </xf>
    <xf numFmtId="9" fontId="5" fillId="0" borderId="24" xfId="0" applyNumberFormat="1" applyFont="1" applyFill="1" applyBorder="1" applyAlignment="1" applyProtection="1">
      <alignment horizontal="center" vertical="center" wrapText="1"/>
    </xf>
    <xf numFmtId="9" fontId="5" fillId="0" borderId="26" xfId="0" applyNumberFormat="1" applyFont="1" applyFill="1" applyBorder="1" applyAlignment="1" applyProtection="1">
      <alignment horizontal="center" vertical="center" wrapText="1"/>
    </xf>
    <xf numFmtId="0" fontId="8" fillId="8" borderId="13"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21"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9" fontId="5" fillId="0" borderId="16" xfId="4" applyFont="1" applyFill="1" applyBorder="1" applyAlignment="1" applyProtection="1">
      <alignment horizontal="center" vertical="center" wrapText="1"/>
    </xf>
    <xf numFmtId="9" fontId="5" fillId="0" borderId="18" xfId="4" applyFont="1" applyFill="1" applyBorder="1" applyAlignment="1" applyProtection="1">
      <alignment horizontal="center" vertical="center" wrapText="1"/>
    </xf>
    <xf numFmtId="9" fontId="5" fillId="0" borderId="19" xfId="4" applyFont="1" applyFill="1" applyBorder="1" applyAlignment="1" applyProtection="1">
      <alignment horizontal="center" vertical="center" wrapText="1"/>
    </xf>
    <xf numFmtId="9" fontId="5" fillId="0" borderId="28" xfId="4" applyFont="1" applyFill="1" applyBorder="1" applyAlignment="1" applyProtection="1">
      <alignment horizontal="center" vertical="center" wrapText="1"/>
    </xf>
    <xf numFmtId="9" fontId="5" fillId="0" borderId="24" xfId="4" applyFont="1" applyFill="1" applyBorder="1" applyAlignment="1" applyProtection="1">
      <alignment horizontal="center" vertical="center" wrapText="1"/>
    </xf>
    <xf numFmtId="9" fontId="5" fillId="0" borderId="26" xfId="4" applyFont="1" applyFill="1" applyBorder="1" applyAlignment="1" applyProtection="1">
      <alignment horizontal="center" vertical="center" wrapText="1"/>
    </xf>
    <xf numFmtId="9" fontId="7" fillId="0" borderId="14" xfId="4" applyFont="1" applyFill="1" applyBorder="1" applyAlignment="1" applyProtection="1">
      <alignment horizontal="center" vertical="center" wrapText="1"/>
    </xf>
    <xf numFmtId="9" fontId="7" fillId="0" borderId="15" xfId="4" applyFont="1" applyFill="1" applyBorder="1" applyAlignment="1" applyProtection="1">
      <alignment horizontal="center" vertical="center" wrapText="1"/>
    </xf>
    <xf numFmtId="9" fontId="7" fillId="0" borderId="20" xfId="4" applyFont="1" applyFill="1" applyBorder="1" applyAlignment="1" applyProtection="1">
      <alignment horizontal="center" vertical="center" wrapText="1"/>
    </xf>
    <xf numFmtId="0" fontId="40" fillId="8" borderId="5"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0" fontId="40" fillId="8" borderId="11"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10" xfId="0" applyFont="1" applyFill="1" applyBorder="1" applyAlignment="1" applyProtection="1">
      <alignment horizontal="center" vertical="center" wrapText="1"/>
    </xf>
    <xf numFmtId="0" fontId="8" fillId="8" borderId="37" xfId="0" applyFont="1" applyFill="1" applyBorder="1" applyAlignment="1" applyProtection="1">
      <alignment horizontal="center" vertical="center" wrapText="1"/>
    </xf>
    <xf numFmtId="9" fontId="5" fillId="22" borderId="13" xfId="4" applyFont="1" applyFill="1" applyBorder="1" applyAlignment="1" applyProtection="1">
      <alignment horizontal="center" vertical="center" wrapText="1"/>
    </xf>
    <xf numFmtId="9" fontId="5" fillId="22" borderId="7" xfId="4" applyFont="1" applyFill="1" applyBorder="1" applyAlignment="1" applyProtection="1">
      <alignment horizontal="center" vertical="center" wrapText="1"/>
    </xf>
    <xf numFmtId="9" fontId="5" fillId="22" borderId="8" xfId="4" applyFont="1" applyFill="1" applyBorder="1" applyAlignment="1" applyProtection="1">
      <alignment horizontal="center" vertical="center" wrapText="1"/>
    </xf>
    <xf numFmtId="9" fontId="5" fillId="2" borderId="28" xfId="0" applyNumberFormat="1"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9" fontId="5" fillId="2" borderId="26" xfId="0" applyNumberFormat="1" applyFont="1" applyFill="1" applyBorder="1" applyAlignment="1">
      <alignment horizontal="center" vertical="center" wrapText="1"/>
    </xf>
    <xf numFmtId="9" fontId="5" fillId="0" borderId="28" xfId="0" applyNumberFormat="1" applyFont="1" applyFill="1" applyBorder="1" applyAlignment="1">
      <alignment horizontal="center" vertical="center" wrapText="1"/>
    </xf>
    <xf numFmtId="9" fontId="5" fillId="0" borderId="24" xfId="0" applyNumberFormat="1" applyFont="1" applyFill="1" applyBorder="1" applyAlignment="1">
      <alignment horizontal="center" vertical="center" wrapText="1"/>
    </xf>
    <xf numFmtId="9" fontId="5" fillId="0" borderId="26" xfId="0" applyNumberFormat="1" applyFont="1" applyFill="1" applyBorder="1" applyAlignment="1">
      <alignment horizontal="center" vertical="center" wrapText="1"/>
    </xf>
    <xf numFmtId="9" fontId="5" fillId="0" borderId="13" xfId="4" applyFont="1" applyFill="1" applyBorder="1" applyAlignment="1" applyProtection="1">
      <alignment horizontal="center" vertical="center" wrapText="1"/>
    </xf>
    <xf numFmtId="9" fontId="5" fillId="0" borderId="7" xfId="4" applyFont="1" applyFill="1" applyBorder="1" applyAlignment="1" applyProtection="1">
      <alignment horizontal="center" vertical="center" wrapText="1"/>
    </xf>
    <xf numFmtId="9" fontId="5" fillId="0" borderId="8" xfId="4" applyFont="1" applyFill="1" applyBorder="1" applyAlignment="1" applyProtection="1">
      <alignment horizontal="center" vertical="center" wrapText="1"/>
    </xf>
    <xf numFmtId="9" fontId="5" fillId="0" borderId="22" xfId="0" applyNumberFormat="1" applyFont="1" applyFill="1" applyBorder="1" applyAlignment="1" applyProtection="1">
      <alignment horizontal="center" vertical="center"/>
    </xf>
    <xf numFmtId="9" fontId="5" fillId="0" borderId="23" xfId="0" applyNumberFormat="1" applyFont="1" applyFill="1" applyBorder="1" applyAlignment="1" applyProtection="1">
      <alignment horizontal="center" vertical="center"/>
    </xf>
    <xf numFmtId="9" fontId="5" fillId="0" borderId="25" xfId="0" applyNumberFormat="1" applyFont="1" applyFill="1" applyBorder="1" applyAlignment="1" applyProtection="1">
      <alignment horizontal="center" vertical="center"/>
    </xf>
    <xf numFmtId="9" fontId="5" fillId="0" borderId="28" xfId="0" applyNumberFormat="1" applyFont="1" applyFill="1" applyBorder="1" applyAlignment="1" applyProtection="1">
      <alignment horizontal="center" vertical="center"/>
    </xf>
    <xf numFmtId="9" fontId="5" fillId="0" borderId="24" xfId="0" applyNumberFormat="1" applyFont="1" applyFill="1" applyBorder="1" applyAlignment="1" applyProtection="1">
      <alignment horizontal="center" vertical="center"/>
    </xf>
    <xf numFmtId="9" fontId="5" fillId="0" borderId="26" xfId="0" applyNumberFormat="1" applyFont="1" applyFill="1" applyBorder="1" applyAlignment="1" applyProtection="1">
      <alignment horizontal="center" vertical="center"/>
    </xf>
    <xf numFmtId="9" fontId="5" fillId="0" borderId="14" xfId="4" applyFont="1" applyFill="1" applyBorder="1" applyAlignment="1" applyProtection="1">
      <alignment horizontal="center" vertical="center" wrapText="1"/>
    </xf>
    <xf numFmtId="9" fontId="5" fillId="0" borderId="15" xfId="4" applyFont="1" applyFill="1" applyBorder="1" applyAlignment="1" applyProtection="1">
      <alignment horizontal="center" vertical="center" wrapText="1"/>
    </xf>
    <xf numFmtId="9" fontId="5" fillId="0" borderId="20" xfId="4" applyFont="1" applyFill="1" applyBorder="1" applyAlignment="1" applyProtection="1">
      <alignment horizontal="center" vertical="center" wrapText="1"/>
    </xf>
    <xf numFmtId="9" fontId="5" fillId="0" borderId="22" xfId="0" applyNumberFormat="1" applyFont="1" applyFill="1" applyBorder="1" applyAlignment="1" applyProtection="1">
      <alignment horizontal="center" vertical="center" wrapText="1"/>
    </xf>
    <xf numFmtId="9" fontId="5" fillId="0" borderId="23" xfId="0" applyNumberFormat="1" applyFont="1" applyFill="1" applyBorder="1" applyAlignment="1" applyProtection="1">
      <alignment horizontal="center" vertical="center" wrapText="1"/>
    </xf>
    <xf numFmtId="9" fontId="5" fillId="0" borderId="25" xfId="0" applyNumberFormat="1" applyFont="1" applyFill="1" applyBorder="1" applyAlignment="1" applyProtection="1">
      <alignment horizontal="center" vertical="center" wrapText="1"/>
    </xf>
    <xf numFmtId="9" fontId="5" fillId="0" borderId="12" xfId="4" applyFont="1" applyFill="1" applyBorder="1" applyAlignment="1" applyProtection="1">
      <alignment horizontal="center" vertical="center" wrapText="1"/>
    </xf>
    <xf numFmtId="9" fontId="5" fillId="0" borderId="9" xfId="4" applyFont="1" applyFill="1" applyBorder="1" applyAlignment="1" applyProtection="1">
      <alignment horizontal="center" vertical="center" wrapText="1"/>
    </xf>
    <xf numFmtId="0" fontId="20" fillId="12" borderId="0" xfId="0" applyFont="1" applyFill="1" applyBorder="1" applyAlignment="1" applyProtection="1">
      <alignment horizontal="center" vertical="center" wrapText="1"/>
    </xf>
    <xf numFmtId="0" fontId="8" fillId="8" borderId="11" xfId="0" applyFont="1" applyFill="1" applyBorder="1" applyAlignment="1" applyProtection="1">
      <alignment horizontal="center" vertical="center" wrapText="1"/>
    </xf>
    <xf numFmtId="0" fontId="40" fillId="8" borderId="37" xfId="0" applyFont="1" applyFill="1" applyBorder="1" applyAlignment="1" applyProtection="1">
      <alignment horizontal="center" vertical="center" wrapText="1"/>
    </xf>
    <xf numFmtId="0" fontId="3" fillId="27" borderId="0" xfId="5" applyFont="1" applyFill="1" applyBorder="1" applyAlignment="1">
      <alignment horizontal="center" vertical="center" wrapText="1"/>
    </xf>
    <xf numFmtId="0" fontId="3" fillId="27" borderId="30" xfId="5" applyFont="1" applyFill="1" applyBorder="1" applyAlignment="1">
      <alignment horizontal="center" vertical="center" wrapText="1"/>
    </xf>
    <xf numFmtId="0" fontId="3" fillId="0" borderId="6" xfId="5" applyFont="1" applyFill="1" applyBorder="1" applyAlignment="1">
      <alignment horizontal="center" vertical="center" wrapText="1"/>
    </xf>
    <xf numFmtId="9" fontId="8" fillId="27" borderId="0" xfId="5" applyNumberFormat="1" applyFont="1" applyFill="1" applyBorder="1" applyAlignment="1">
      <alignment horizontal="center" vertical="center" wrapText="1"/>
    </xf>
    <xf numFmtId="9" fontId="8" fillId="27" borderId="30" xfId="5" applyNumberFormat="1" applyFont="1" applyFill="1" applyBorder="1" applyAlignment="1">
      <alignment horizontal="center" vertical="center" wrapText="1"/>
    </xf>
    <xf numFmtId="3" fontId="8" fillId="0" borderId="0" xfId="5" applyNumberFormat="1" applyFont="1" applyFill="1" applyBorder="1" applyAlignment="1">
      <alignment horizontal="center" vertical="center" wrapText="1"/>
    </xf>
    <xf numFmtId="3" fontId="8" fillId="0" borderId="30" xfId="5" applyNumberFormat="1" applyFont="1" applyFill="1" applyBorder="1" applyAlignment="1">
      <alignment horizontal="center" vertical="center" wrapText="1"/>
    </xf>
    <xf numFmtId="0" fontId="3" fillId="4" borderId="34" xfId="5" applyFont="1" applyFill="1" applyBorder="1" applyAlignment="1">
      <alignment horizontal="center" vertical="center" wrapText="1"/>
    </xf>
    <xf numFmtId="0" fontId="3" fillId="28" borderId="0" xfId="5" applyFont="1" applyFill="1" applyBorder="1" applyAlignment="1">
      <alignment horizontal="center" vertical="center" wrapText="1"/>
    </xf>
    <xf numFmtId="0" fontId="3" fillId="28" borderId="30" xfId="5" applyFont="1" applyFill="1" applyBorder="1" applyAlignment="1">
      <alignment horizontal="center" vertical="center" wrapText="1"/>
    </xf>
    <xf numFmtId="166" fontId="9" fillId="28" borderId="0" xfId="4" applyNumberFormat="1" applyFont="1" applyFill="1" applyBorder="1" applyAlignment="1">
      <alignment horizontal="center" vertical="center" wrapText="1"/>
    </xf>
    <xf numFmtId="166" fontId="9" fillId="28" borderId="30" xfId="4" applyNumberFormat="1" applyFont="1" applyFill="1" applyBorder="1" applyAlignment="1">
      <alignment horizontal="center" vertical="center" wrapText="1"/>
    </xf>
    <xf numFmtId="0" fontId="3" fillId="28" borderId="34" xfId="5" applyFont="1" applyFill="1" applyBorder="1" applyAlignment="1">
      <alignment horizontal="center" vertical="center" wrapText="1"/>
    </xf>
    <xf numFmtId="0" fontId="64" fillId="0" borderId="7" xfId="5" applyFont="1" applyFill="1" applyBorder="1" applyAlignment="1">
      <alignment horizontal="center" vertical="center" wrapText="1"/>
    </xf>
    <xf numFmtId="0" fontId="64" fillId="0" borderId="0" xfId="5" applyFont="1" applyFill="1" applyBorder="1" applyAlignment="1">
      <alignment horizontal="center" vertical="center" wrapText="1"/>
    </xf>
    <xf numFmtId="0" fontId="64" fillId="0" borderId="6" xfId="5" applyFont="1" applyFill="1" applyBorder="1" applyAlignment="1">
      <alignment horizontal="center" vertical="center" wrapText="1"/>
    </xf>
    <xf numFmtId="0" fontId="3" fillId="3" borderId="18" xfId="5" applyFont="1" applyFill="1" applyBorder="1" applyAlignment="1">
      <alignment horizontal="center" vertical="center" wrapText="1"/>
    </xf>
    <xf numFmtId="0" fontId="65" fillId="0" borderId="18" xfId="5" applyFont="1" applyFill="1" applyBorder="1" applyAlignment="1">
      <alignment horizontal="right" vertical="center" wrapText="1"/>
    </xf>
    <xf numFmtId="0" fontId="64" fillId="0" borderId="30" xfId="5" applyFont="1" applyFill="1" applyBorder="1" applyAlignment="1">
      <alignment horizontal="center" vertical="center" wrapText="1"/>
    </xf>
    <xf numFmtId="0" fontId="3" fillId="0" borderId="18" xfId="5" applyFont="1" applyFill="1" applyBorder="1" applyAlignment="1">
      <alignment horizontal="center" vertical="center" wrapText="1"/>
    </xf>
    <xf numFmtId="0" fontId="65" fillId="0" borderId="34" xfId="5" applyFont="1" applyFill="1" applyBorder="1" applyAlignment="1">
      <alignment horizontal="right"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center" vertical="center" wrapText="1"/>
    </xf>
    <xf numFmtId="1" fontId="8" fillId="2" borderId="0" xfId="4" applyNumberFormat="1" applyFont="1" applyFill="1" applyBorder="1" applyAlignment="1">
      <alignment horizontal="center" vertical="center" wrapText="1"/>
    </xf>
    <xf numFmtId="165" fontId="8" fillId="0" borderId="3" xfId="9" applyNumberFormat="1" applyFont="1" applyFill="1" applyBorder="1" applyAlignment="1">
      <alignment horizontal="center" vertical="center" wrapText="1"/>
    </xf>
    <xf numFmtId="165" fontId="8" fillId="0" borderId="0" xfId="9" applyNumberFormat="1" applyFont="1" applyFill="1" applyBorder="1" applyAlignment="1">
      <alignment horizontal="center" vertical="center" wrapText="1"/>
    </xf>
    <xf numFmtId="3" fontId="8" fillId="0" borderId="35" xfId="5" applyNumberFormat="1" applyFont="1" applyFill="1" applyBorder="1" applyAlignment="1">
      <alignment horizontal="center" vertical="center" wrapText="1"/>
    </xf>
    <xf numFmtId="0" fontId="8" fillId="2" borderId="0" xfId="5" applyFont="1" applyFill="1" applyBorder="1" applyAlignment="1" applyProtection="1">
      <alignment horizontal="left" vertical="center" wrapText="1"/>
    </xf>
    <xf numFmtId="0" fontId="8" fillId="2" borderId="12" xfId="5" applyFont="1" applyFill="1" applyBorder="1" applyAlignment="1" applyProtection="1">
      <alignment horizontal="left" vertical="center" wrapText="1"/>
    </xf>
    <xf numFmtId="164" fontId="35" fillId="0" borderId="5" xfId="0" applyNumberFormat="1" applyFont="1" applyFill="1" applyBorder="1" applyAlignment="1" applyProtection="1">
      <alignment horizontal="center" vertical="center" wrapText="1"/>
    </xf>
    <xf numFmtId="164" fontId="35" fillId="0" borderId="10" xfId="0" applyNumberFormat="1" applyFont="1" applyFill="1" applyBorder="1" applyAlignment="1" applyProtection="1">
      <alignment horizontal="center" vertical="center" wrapText="1"/>
    </xf>
    <xf numFmtId="164" fontId="35" fillId="0" borderId="11"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wrapText="1"/>
    </xf>
    <xf numFmtId="164" fontId="5" fillId="0" borderId="11" xfId="0" applyNumberFormat="1" applyFont="1" applyFill="1" applyBorder="1" applyAlignment="1" applyProtection="1">
      <alignment horizontal="center" vertical="center" wrapText="1"/>
    </xf>
    <xf numFmtId="9" fontId="5" fillId="2" borderId="5" xfId="4" applyFont="1" applyFill="1" applyBorder="1" applyAlignment="1" applyProtection="1">
      <alignment horizontal="center" vertical="center" wrapText="1"/>
    </xf>
    <xf numFmtId="9" fontId="5" fillId="2" borderId="10" xfId="4" applyFont="1" applyFill="1" applyBorder="1" applyAlignment="1" applyProtection="1">
      <alignment horizontal="center" vertical="center" wrapText="1"/>
    </xf>
    <xf numFmtId="9" fontId="5" fillId="2" borderId="11" xfId="4" applyFont="1" applyFill="1" applyBorder="1" applyAlignment="1" applyProtection="1">
      <alignment horizontal="center" vertical="center" wrapText="1"/>
    </xf>
    <xf numFmtId="9" fontId="5" fillId="0" borderId="2" xfId="4" applyFont="1" applyFill="1" applyBorder="1" applyAlignment="1" applyProtection="1">
      <alignment horizontal="center" vertical="center" wrapText="1"/>
    </xf>
    <xf numFmtId="9" fontId="5" fillId="0" borderId="5" xfId="4" applyFont="1" applyFill="1" applyBorder="1" applyAlignment="1" applyProtection="1">
      <alignment horizontal="center" vertical="center" textRotation="90" wrapText="1"/>
    </xf>
    <xf numFmtId="9" fontId="5" fillId="0" borderId="10" xfId="4" applyFont="1" applyFill="1" applyBorder="1" applyAlignment="1" applyProtection="1">
      <alignment horizontal="center" vertical="center" textRotation="90" wrapText="1"/>
    </xf>
    <xf numFmtId="9" fontId="5" fillId="0" borderId="11" xfId="4" applyFont="1" applyFill="1" applyBorder="1" applyAlignment="1" applyProtection="1">
      <alignment horizontal="center" vertical="center" textRotation="90" wrapText="1"/>
    </xf>
    <xf numFmtId="0" fontId="5" fillId="2" borderId="5"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1" fontId="41" fillId="0" borderId="0" xfId="0" applyNumberFormat="1" applyFont="1" applyFill="1" applyBorder="1" applyAlignment="1" applyProtection="1">
      <alignment horizontal="center" vertical="center" textRotation="90" wrapText="1"/>
    </xf>
    <xf numFmtId="3" fontId="5" fillId="0" borderId="12" xfId="0" applyNumberFormat="1" applyFont="1" applyFill="1" applyBorder="1" applyAlignment="1" applyProtection="1">
      <alignment horizontal="center" vertical="center" textRotation="90" wrapText="1"/>
    </xf>
    <xf numFmtId="9" fontId="5" fillId="2" borderId="2" xfId="4"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1" fontId="45" fillId="22" borderId="0" xfId="0" applyNumberFormat="1" applyFont="1" applyFill="1" applyBorder="1" applyAlignment="1" applyProtection="1">
      <alignment horizontal="center" vertical="center" wrapText="1"/>
    </xf>
    <xf numFmtId="165" fontId="5" fillId="0" borderId="5" xfId="1" applyNumberFormat="1" applyFont="1" applyFill="1" applyBorder="1" applyAlignment="1" applyProtection="1">
      <alignment horizontal="center" vertical="center" wrapText="1"/>
    </xf>
    <xf numFmtId="165" fontId="5" fillId="0" borderId="10" xfId="1" applyNumberFormat="1" applyFont="1" applyFill="1" applyBorder="1" applyAlignment="1" applyProtection="1">
      <alignment horizontal="center" vertical="center" wrapText="1"/>
    </xf>
    <xf numFmtId="165" fontId="5" fillId="0" borderId="11" xfId="1" applyNumberFormat="1" applyFont="1" applyFill="1" applyBorder="1" applyAlignment="1" applyProtection="1">
      <alignment horizontal="center" vertical="center" wrapText="1"/>
    </xf>
    <xf numFmtId="165" fontId="5" fillId="0" borderId="2" xfId="1" applyNumberFormat="1" applyFont="1" applyFill="1" applyBorder="1" applyAlignment="1" applyProtection="1">
      <alignment horizontal="center" vertical="center" wrapText="1"/>
    </xf>
    <xf numFmtId="3" fontId="5" fillId="20" borderId="12" xfId="0" applyNumberFormat="1" applyFont="1" applyFill="1" applyBorder="1" applyAlignment="1" applyProtection="1">
      <alignment horizontal="center" vertical="center" textRotation="90" wrapText="1"/>
    </xf>
    <xf numFmtId="9" fontId="5" fillId="0" borderId="2" xfId="4" applyFont="1" applyFill="1" applyBorder="1" applyAlignment="1" applyProtection="1">
      <alignment horizontal="center" vertical="center" textRotation="90" wrapText="1"/>
    </xf>
    <xf numFmtId="1" fontId="5" fillId="0" borderId="0" xfId="0" applyNumberFormat="1" applyFont="1" applyFill="1" applyBorder="1" applyAlignment="1" applyProtection="1">
      <alignment horizontal="center" vertical="center" textRotation="90" wrapText="1"/>
    </xf>
    <xf numFmtId="9" fontId="5" fillId="2" borderId="2" xfId="4" applyFont="1" applyFill="1" applyBorder="1" applyAlignment="1" applyProtection="1">
      <alignment horizontal="center" vertical="center" textRotation="90" wrapText="1"/>
    </xf>
    <xf numFmtId="0" fontId="44" fillId="2"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9" fontId="44" fillId="0" borderId="2" xfId="4"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14" fontId="5" fillId="0" borderId="2" xfId="0" applyNumberFormat="1" applyFont="1" applyFill="1" applyBorder="1" applyAlignment="1" applyProtection="1">
      <alignment horizontal="center" vertical="center" wrapText="1"/>
    </xf>
    <xf numFmtId="165" fontId="44" fillId="0" borderId="5" xfId="1" applyNumberFormat="1" applyFont="1" applyFill="1" applyBorder="1" applyAlignment="1" applyProtection="1">
      <alignment horizontal="center" vertical="center" wrapText="1"/>
    </xf>
    <xf numFmtId="165" fontId="44" fillId="0" borderId="10" xfId="1" applyNumberFormat="1" applyFont="1" applyFill="1" applyBorder="1" applyAlignment="1" applyProtection="1">
      <alignment horizontal="center" vertical="center" wrapText="1"/>
    </xf>
    <xf numFmtId="165" fontId="44" fillId="0" borderId="11" xfId="1" applyNumberFormat="1" applyFont="1" applyFill="1" applyBorder="1" applyAlignment="1" applyProtection="1">
      <alignment horizontal="center" vertical="center" wrapText="1"/>
    </xf>
    <xf numFmtId="172" fontId="44" fillId="0" borderId="2" xfId="3" applyNumberFormat="1" applyFont="1" applyFill="1" applyBorder="1" applyAlignment="1" applyProtection="1">
      <alignment horizontal="center" vertical="center" wrapText="1"/>
    </xf>
    <xf numFmtId="0" fontId="44" fillId="2" borderId="2" xfId="5" applyFont="1" applyFill="1" applyBorder="1" applyAlignment="1" applyProtection="1">
      <alignment horizontal="center" vertical="center" wrapText="1"/>
    </xf>
    <xf numFmtId="0" fontId="6" fillId="2" borderId="2" xfId="5" applyFont="1" applyFill="1" applyBorder="1" applyAlignment="1" applyProtection="1">
      <alignment horizontal="center" vertical="center" textRotation="90" wrapText="1"/>
    </xf>
    <xf numFmtId="0" fontId="6" fillId="2" borderId="5" xfId="5" applyFont="1" applyFill="1" applyBorder="1" applyAlignment="1" applyProtection="1">
      <alignment horizontal="center" vertical="center" wrapText="1"/>
    </xf>
    <xf numFmtId="0" fontId="6" fillId="2" borderId="10" xfId="5" applyFont="1" applyFill="1" applyBorder="1" applyAlignment="1" applyProtection="1">
      <alignment horizontal="center" vertical="center" wrapText="1"/>
    </xf>
    <xf numFmtId="0" fontId="6" fillId="2" borderId="11" xfId="5" applyFont="1" applyFill="1" applyBorder="1" applyAlignment="1" applyProtection="1">
      <alignment horizontal="center" vertical="center" wrapText="1"/>
    </xf>
    <xf numFmtId="0" fontId="8" fillId="3" borderId="2" xfId="5" applyFont="1" applyFill="1" applyBorder="1" applyAlignment="1" applyProtection="1">
      <alignment horizontal="center" vertical="center" wrapText="1"/>
    </xf>
    <xf numFmtId="0" fontId="8" fillId="3" borderId="16" xfId="5" applyFont="1" applyFill="1" applyBorder="1" applyAlignment="1" applyProtection="1">
      <alignment horizontal="center" vertical="center" wrapText="1"/>
    </xf>
    <xf numFmtId="0" fontId="8" fillId="3" borderId="18" xfId="5" applyFont="1" applyFill="1" applyBorder="1" applyAlignment="1" applyProtection="1">
      <alignment horizontal="center" vertical="center" wrapText="1"/>
    </xf>
    <xf numFmtId="0" fontId="8" fillId="3" borderId="19" xfId="5" applyFont="1" applyFill="1" applyBorder="1" applyAlignment="1" applyProtection="1">
      <alignment horizontal="center" vertical="center" wrapText="1"/>
    </xf>
    <xf numFmtId="0" fontId="8" fillId="0" borderId="5" xfId="5" applyFont="1" applyFill="1" applyBorder="1" applyAlignment="1" applyProtection="1">
      <alignment horizontal="center" vertical="center" wrapText="1"/>
    </xf>
    <xf numFmtId="0" fontId="8" fillId="0" borderId="10" xfId="5" applyFont="1" applyFill="1" applyBorder="1" applyAlignment="1" applyProtection="1">
      <alignment horizontal="center" vertical="center" wrapText="1"/>
    </xf>
    <xf numFmtId="0" fontId="8" fillId="0" borderId="11" xfId="5" applyFont="1" applyFill="1" applyBorder="1" applyAlignment="1" applyProtection="1">
      <alignment horizontal="center" vertical="center" wrapText="1"/>
    </xf>
    <xf numFmtId="0" fontId="8" fillId="0" borderId="2" xfId="5" applyFont="1" applyFill="1" applyBorder="1" applyAlignment="1" applyProtection="1">
      <alignment horizontal="center" vertical="center" wrapText="1"/>
    </xf>
    <xf numFmtId="0" fontId="8" fillId="0" borderId="7" xfId="5" applyFont="1" applyFill="1" applyBorder="1" applyAlignment="1" applyProtection="1">
      <alignment horizontal="center" vertical="center" wrapText="1"/>
    </xf>
    <xf numFmtId="0" fontId="8" fillId="0" borderId="8" xfId="5" applyFont="1" applyFill="1" applyBorder="1" applyAlignment="1" applyProtection="1">
      <alignment horizontal="center" vertical="center" wrapText="1"/>
    </xf>
    <xf numFmtId="0" fontId="8" fillId="0" borderId="6" xfId="5" applyFont="1" applyFill="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0" fontId="8" fillId="3" borderId="2" xfId="5" applyFont="1" applyFill="1" applyBorder="1" applyAlignment="1" applyProtection="1">
      <alignment horizontal="center" vertical="center" textRotation="90" wrapText="1"/>
    </xf>
    <xf numFmtId="0" fontId="8" fillId="3" borderId="21" xfId="5" applyFont="1" applyFill="1" applyBorder="1" applyAlignment="1" applyProtection="1">
      <alignment horizontal="center" vertical="center" wrapText="1"/>
    </xf>
    <xf numFmtId="0" fontId="8" fillId="3" borderId="6" xfId="5" applyFont="1" applyFill="1" applyBorder="1" applyAlignment="1" applyProtection="1">
      <alignment horizontal="center" vertical="center" wrapText="1"/>
    </xf>
    <xf numFmtId="0" fontId="8" fillId="3" borderId="9" xfId="5" applyFont="1" applyFill="1" applyBorder="1" applyAlignment="1" applyProtection="1">
      <alignment horizontal="center" vertical="center" wrapText="1"/>
    </xf>
    <xf numFmtId="0" fontId="8" fillId="0" borderId="16" xfId="5" applyFont="1" applyFill="1" applyBorder="1" applyAlignment="1" applyProtection="1">
      <alignment horizontal="center" vertical="center" wrapText="1"/>
    </xf>
    <xf numFmtId="0" fontId="8" fillId="0" borderId="18" xfId="5" applyFont="1" applyFill="1" applyBorder="1" applyAlignment="1" applyProtection="1">
      <alignment horizontal="center" vertical="center" wrapText="1"/>
    </xf>
    <xf numFmtId="0" fontId="8" fillId="0" borderId="19" xfId="5" applyFont="1" applyFill="1" applyBorder="1" applyAlignment="1" applyProtection="1">
      <alignment horizontal="center" vertical="center" wrapText="1"/>
    </xf>
    <xf numFmtId="0" fontId="20" fillId="19" borderId="2" xfId="0" applyFont="1" applyFill="1" applyBorder="1" applyAlignment="1" applyProtection="1">
      <alignment horizontal="center" vertical="center" wrapText="1"/>
    </xf>
    <xf numFmtId="9" fontId="8" fillId="3" borderId="2" xfId="4" applyFont="1" applyFill="1" applyBorder="1" applyAlignment="1" applyProtection="1">
      <alignment horizontal="center" vertical="center" textRotation="90" wrapText="1"/>
    </xf>
    <xf numFmtId="9" fontId="8" fillId="3" borderId="2" xfId="5" applyNumberFormat="1" applyFont="1" applyFill="1" applyBorder="1" applyAlignment="1" applyProtection="1">
      <alignment horizontal="center" vertical="center" textRotation="90" wrapText="1"/>
    </xf>
    <xf numFmtId="165" fontId="5" fillId="0" borderId="5" xfId="1" applyNumberFormat="1" applyFont="1" applyFill="1" applyBorder="1" applyAlignment="1">
      <alignment horizontal="center" vertical="center" wrapText="1"/>
    </xf>
    <xf numFmtId="165" fontId="5" fillId="0" borderId="10" xfId="1" applyNumberFormat="1" applyFont="1" applyFill="1" applyBorder="1" applyAlignment="1">
      <alignment horizontal="center" vertical="center" wrapText="1"/>
    </xf>
    <xf numFmtId="165" fontId="5" fillId="0" borderId="11" xfId="1" applyNumberFormat="1" applyFont="1" applyFill="1" applyBorder="1" applyAlignment="1">
      <alignment horizontal="center" vertical="center" wrapText="1"/>
    </xf>
    <xf numFmtId="165" fontId="5" fillId="2" borderId="5" xfId="1" applyNumberFormat="1" applyFont="1" applyFill="1" applyBorder="1" applyAlignment="1">
      <alignment horizontal="center" vertical="center" wrapText="1"/>
    </xf>
    <xf numFmtId="165" fontId="5" fillId="2" borderId="10" xfId="1" applyNumberFormat="1" applyFont="1" applyFill="1" applyBorder="1" applyAlignment="1">
      <alignment horizontal="center" vertical="center" wrapText="1"/>
    </xf>
    <xf numFmtId="165" fontId="5" fillId="2" borderId="11" xfId="1" applyNumberFormat="1" applyFont="1" applyFill="1" applyBorder="1" applyAlignment="1">
      <alignment horizontal="center" vertical="center" wrapText="1"/>
    </xf>
    <xf numFmtId="9" fontId="5" fillId="0" borderId="2" xfId="4" applyFont="1" applyFill="1" applyBorder="1" applyAlignment="1">
      <alignment horizontal="center" vertical="center" wrapText="1"/>
    </xf>
    <xf numFmtId="172" fontId="35" fillId="0" borderId="2" xfId="8" applyNumberFormat="1" applyFont="1" applyFill="1" applyBorder="1" applyAlignment="1">
      <alignment horizontal="center" vertical="center" wrapText="1"/>
    </xf>
    <xf numFmtId="172" fontId="5" fillId="0" borderId="2" xfId="8"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3" borderId="14" xfId="0" applyNumberFormat="1"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9" fontId="5" fillId="3" borderId="20" xfId="0" applyNumberFormat="1" applyFont="1" applyFill="1" applyBorder="1" applyAlignment="1">
      <alignment horizontal="center" vertical="center" wrapText="1"/>
    </xf>
    <xf numFmtId="9" fontId="5" fillId="0" borderId="14" xfId="4" applyFont="1" applyBorder="1" applyAlignment="1">
      <alignment horizontal="center" vertical="center" wrapText="1"/>
    </xf>
    <xf numFmtId="9" fontId="5" fillId="0" borderId="15" xfId="4" applyFont="1" applyBorder="1" applyAlignment="1">
      <alignment horizontal="center" vertical="center" wrapText="1"/>
    </xf>
    <xf numFmtId="9" fontId="5" fillId="0" borderId="20" xfId="4" applyFont="1" applyBorder="1" applyAlignment="1">
      <alignment horizontal="center" vertical="center" wrapText="1"/>
    </xf>
    <xf numFmtId="1" fontId="5" fillId="0" borderId="0" xfId="0" applyNumberFormat="1" applyFont="1" applyFill="1" applyBorder="1" applyAlignment="1">
      <alignment horizontal="center" vertical="center" textRotation="90" wrapText="1"/>
    </xf>
    <xf numFmtId="9" fontId="5" fillId="0" borderId="2" xfId="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5" fontId="5" fillId="0" borderId="2" xfId="1"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43" fillId="0" borderId="2" xfId="6" applyFont="1" applyFill="1" applyBorder="1" applyAlignment="1" applyProtection="1">
      <alignment horizontal="center" vertical="center" wrapText="1"/>
    </xf>
    <xf numFmtId="0" fontId="6" fillId="2" borderId="5" xfId="5" applyFont="1" applyFill="1" applyBorder="1" applyAlignment="1">
      <alignment horizontal="center" vertical="center" textRotation="90" wrapText="1"/>
    </xf>
    <xf numFmtId="0" fontId="6" fillId="2" borderId="10" xfId="5" applyFont="1" applyFill="1" applyBorder="1" applyAlignment="1">
      <alignment horizontal="center" vertical="center" textRotation="90" wrapText="1"/>
    </xf>
    <xf numFmtId="0" fontId="6" fillId="2" borderId="11" xfId="5" applyFont="1" applyFill="1" applyBorder="1" applyAlignment="1">
      <alignment horizontal="center" vertical="center" textRotation="90" wrapText="1"/>
    </xf>
    <xf numFmtId="0" fontId="6" fillId="2" borderId="2" xfId="5" applyFont="1" applyFill="1" applyBorder="1" applyAlignment="1">
      <alignment horizontal="center" vertical="center" wrapText="1"/>
    </xf>
    <xf numFmtId="9" fontId="5" fillId="2" borderId="2" xfId="5" applyNumberFormat="1" applyFont="1" applyFill="1" applyBorder="1" applyAlignment="1">
      <alignment horizontal="center" vertical="center" wrapText="1"/>
    </xf>
    <xf numFmtId="0" fontId="20" fillId="11" borderId="2" xfId="0" applyFont="1" applyFill="1" applyBorder="1" applyAlignment="1" applyProtection="1">
      <alignment horizontal="center" vertical="center" wrapText="1"/>
    </xf>
    <xf numFmtId="0" fontId="62" fillId="26" borderId="5" xfId="0" applyFont="1" applyFill="1" applyBorder="1" applyAlignment="1" applyProtection="1">
      <alignment horizontal="center" vertical="center" wrapText="1"/>
    </xf>
    <xf numFmtId="0" fontId="62" fillId="26" borderId="10" xfId="0" applyFont="1" applyFill="1" applyBorder="1" applyAlignment="1" applyProtection="1">
      <alignment horizontal="center" vertical="center" wrapText="1"/>
    </xf>
    <xf numFmtId="0" fontId="62" fillId="26" borderId="29" xfId="0" applyFont="1" applyFill="1" applyBorder="1" applyAlignment="1" applyProtection="1">
      <alignment horizontal="center" vertical="center" wrapText="1"/>
    </xf>
    <xf numFmtId="9" fontId="5" fillId="0" borderId="5" xfId="4" applyFont="1" applyFill="1" applyBorder="1" applyAlignment="1" applyProtection="1">
      <alignment horizontal="center" vertical="center"/>
    </xf>
    <xf numFmtId="9" fontId="5" fillId="0" borderId="10" xfId="4" applyFont="1" applyFill="1" applyBorder="1" applyAlignment="1" applyProtection="1">
      <alignment horizontal="center" vertical="center"/>
    </xf>
    <xf numFmtId="9" fontId="5" fillId="0" borderId="11" xfId="4" applyFont="1" applyFill="1" applyBorder="1" applyAlignment="1" applyProtection="1">
      <alignment horizontal="center" vertical="center"/>
    </xf>
    <xf numFmtId="0" fontId="62" fillId="26" borderId="11" xfId="0" applyFont="1" applyFill="1" applyBorder="1" applyAlignment="1" applyProtection="1">
      <alignment horizontal="center" vertical="center" wrapText="1"/>
    </xf>
    <xf numFmtId="0" fontId="6" fillId="0" borderId="2" xfId="5" applyFont="1" applyFill="1" applyBorder="1" applyAlignment="1" applyProtection="1">
      <alignment horizontal="center" vertical="center" textRotation="90" wrapText="1"/>
    </xf>
    <xf numFmtId="0" fontId="6" fillId="2" borderId="2" xfId="5" applyFont="1" applyFill="1" applyBorder="1" applyAlignment="1" applyProtection="1">
      <alignment horizontal="center" vertical="center" wrapText="1"/>
    </xf>
    <xf numFmtId="172" fontId="5" fillId="2" borderId="5" xfId="8" applyNumberFormat="1" applyFont="1" applyFill="1" applyBorder="1" applyAlignment="1">
      <alignment horizontal="center" vertical="center" wrapText="1"/>
    </xf>
    <xf numFmtId="172" fontId="5" fillId="2" borderId="10" xfId="8" applyNumberFormat="1" applyFont="1" applyFill="1" applyBorder="1" applyAlignment="1">
      <alignment horizontal="center" vertical="center" wrapText="1"/>
    </xf>
    <xf numFmtId="172" fontId="5" fillId="2" borderId="11" xfId="8" applyNumberFormat="1" applyFont="1" applyFill="1" applyBorder="1" applyAlignment="1">
      <alignment horizontal="center" vertical="center" wrapText="1"/>
    </xf>
    <xf numFmtId="9" fontId="5" fillId="0" borderId="5" xfId="4" applyFont="1" applyFill="1" applyBorder="1" applyAlignment="1">
      <alignment horizontal="center" vertical="center" wrapText="1"/>
    </xf>
    <xf numFmtId="9" fontId="5" fillId="0" borderId="10" xfId="4" applyFont="1" applyFill="1" applyBorder="1" applyAlignment="1">
      <alignment horizontal="center" vertical="center" wrapText="1"/>
    </xf>
    <xf numFmtId="9" fontId="5" fillId="0" borderId="11" xfId="4" applyFont="1" applyFill="1" applyBorder="1" applyAlignment="1">
      <alignment horizontal="center" vertical="center" wrapText="1"/>
    </xf>
    <xf numFmtId="9" fontId="5" fillId="0" borderId="5" xfId="5" applyNumberFormat="1" applyFont="1" applyFill="1" applyBorder="1" applyAlignment="1">
      <alignment horizontal="center" vertical="center" wrapText="1"/>
    </xf>
    <xf numFmtId="9" fontId="5" fillId="0" borderId="10" xfId="5" applyNumberFormat="1"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9" fontId="5" fillId="0" borderId="5" xfId="4" applyFont="1" applyFill="1" applyBorder="1" applyAlignment="1">
      <alignment horizontal="center" vertical="center" textRotation="90" wrapText="1"/>
    </xf>
    <xf numFmtId="9" fontId="5" fillId="0" borderId="10" xfId="4" applyFont="1" applyFill="1" applyBorder="1" applyAlignment="1">
      <alignment horizontal="center" vertical="center" textRotation="90" wrapText="1"/>
    </xf>
    <xf numFmtId="9" fontId="5" fillId="0" borderId="11" xfId="4" applyFont="1" applyFill="1" applyBorder="1" applyAlignment="1">
      <alignment horizontal="center" vertical="center" textRotation="90" wrapText="1"/>
    </xf>
    <xf numFmtId="172" fontId="35" fillId="2" borderId="5" xfId="8" applyNumberFormat="1" applyFont="1" applyFill="1" applyBorder="1" applyAlignment="1">
      <alignment horizontal="center" vertical="center" wrapText="1"/>
    </xf>
    <xf numFmtId="172" fontId="35" fillId="2" borderId="10" xfId="8" applyNumberFormat="1" applyFont="1" applyFill="1" applyBorder="1" applyAlignment="1">
      <alignment horizontal="center" vertical="center" wrapText="1"/>
    </xf>
    <xf numFmtId="172" fontId="35" fillId="2" borderId="11" xfId="8" applyNumberFormat="1"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44" fillId="0" borderId="5" xfId="0" applyFont="1" applyFill="1" applyBorder="1" applyAlignment="1" applyProtection="1">
      <alignment horizontal="center" vertical="center" wrapText="1"/>
      <protection locked="0"/>
    </xf>
    <xf numFmtId="0" fontId="44" fillId="0" borderId="10" xfId="0" applyFont="1" applyFill="1" applyBorder="1" applyAlignment="1" applyProtection="1">
      <alignment horizontal="center" vertical="center" wrapText="1"/>
      <protection locked="0"/>
    </xf>
    <xf numFmtId="0" fontId="44" fillId="0" borderId="11" xfId="0" applyFont="1" applyFill="1" applyBorder="1" applyAlignment="1" applyProtection="1">
      <alignment horizontal="center" vertical="center" wrapText="1"/>
      <protection locked="0"/>
    </xf>
    <xf numFmtId="9" fontId="5" fillId="0" borderId="5" xfId="4" applyFont="1" applyFill="1" applyBorder="1" applyAlignment="1" applyProtection="1">
      <alignment horizontal="center" vertical="center" wrapText="1"/>
      <protection locked="0"/>
    </xf>
    <xf numFmtId="9" fontId="5" fillId="0" borderId="10" xfId="4" applyFont="1" applyFill="1" applyBorder="1" applyAlignment="1" applyProtection="1">
      <alignment horizontal="center" vertical="center" wrapText="1"/>
      <protection locked="0"/>
    </xf>
    <xf numFmtId="9" fontId="5" fillId="0" borderId="11" xfId="4" applyFont="1" applyFill="1" applyBorder="1" applyAlignment="1" applyProtection="1">
      <alignment horizontal="center" vertical="center" wrapText="1"/>
      <protection locked="0"/>
    </xf>
    <xf numFmtId="0" fontId="43" fillId="2" borderId="5" xfId="6" applyFont="1" applyFill="1" applyBorder="1" applyAlignment="1" applyProtection="1">
      <alignment horizontal="center" vertical="center" wrapText="1"/>
    </xf>
    <xf numFmtId="0" fontId="43" fillId="2" borderId="10" xfId="6" applyFont="1" applyFill="1" applyBorder="1" applyAlignment="1" applyProtection="1">
      <alignment horizontal="center" vertical="center" wrapText="1"/>
    </xf>
    <xf numFmtId="0" fontId="43" fillId="2" borderId="11" xfId="6" applyFont="1" applyFill="1" applyBorder="1" applyAlignment="1" applyProtection="1">
      <alignment horizontal="center" vertical="center" wrapText="1"/>
    </xf>
    <xf numFmtId="9" fontId="5" fillId="2" borderId="5" xfId="4" applyFont="1" applyFill="1" applyBorder="1" applyAlignment="1">
      <alignment horizontal="center" vertical="center" wrapText="1"/>
    </xf>
    <xf numFmtId="9" fontId="5" fillId="2" borderId="10" xfId="4" applyFont="1" applyFill="1" applyBorder="1" applyAlignment="1">
      <alignment horizontal="center" vertical="center" wrapText="1"/>
    </xf>
    <xf numFmtId="9" fontId="5" fillId="2" borderId="11" xfId="4"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9" fontId="5" fillId="0" borderId="5" xfId="0" applyNumberFormat="1" applyFont="1" applyFill="1" applyBorder="1" applyAlignment="1" applyProtection="1">
      <alignment horizontal="center" vertical="center" wrapText="1"/>
      <protection locked="0"/>
    </xf>
    <xf numFmtId="9" fontId="44" fillId="0" borderId="5" xfId="0" applyNumberFormat="1" applyFont="1" applyFill="1" applyBorder="1" applyAlignment="1" applyProtection="1">
      <alignment horizontal="center" vertical="center" wrapText="1"/>
      <protection locked="0"/>
    </xf>
    <xf numFmtId="9" fontId="5" fillId="20" borderId="5" xfId="4" applyFont="1" applyFill="1" applyBorder="1" applyAlignment="1" applyProtection="1">
      <alignment horizontal="center" vertical="center" wrapText="1"/>
      <protection locked="0"/>
    </xf>
    <xf numFmtId="9" fontId="5" fillId="20" borderId="10" xfId="4" applyFont="1" applyFill="1" applyBorder="1" applyAlignment="1" applyProtection="1">
      <alignment horizontal="center" vertical="center" wrapText="1"/>
      <protection locked="0"/>
    </xf>
    <xf numFmtId="9" fontId="5" fillId="20" borderId="11" xfId="4" applyFont="1" applyFill="1" applyBorder="1" applyAlignment="1" applyProtection="1">
      <alignment horizontal="center" vertical="center" wrapText="1"/>
      <protection locked="0"/>
    </xf>
    <xf numFmtId="9" fontId="5" fillId="20" borderId="2" xfId="4" applyFont="1" applyFill="1" applyBorder="1" applyAlignment="1" applyProtection="1">
      <alignment horizontal="center" vertical="center" wrapText="1"/>
      <protection locked="0"/>
    </xf>
    <xf numFmtId="165" fontId="44" fillId="2" borderId="5" xfId="1" applyNumberFormat="1" applyFont="1" applyFill="1" applyBorder="1" applyAlignment="1">
      <alignment horizontal="center" vertical="center" wrapText="1"/>
    </xf>
    <xf numFmtId="165" fontId="44" fillId="2" borderId="10" xfId="1" applyNumberFormat="1" applyFont="1" applyFill="1" applyBorder="1" applyAlignment="1">
      <alignment horizontal="center" vertical="center" wrapText="1"/>
    </xf>
    <xf numFmtId="165" fontId="44" fillId="2" borderId="11" xfId="1" applyNumberFormat="1"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11" xfId="0" applyFont="1" applyFill="1" applyBorder="1" applyAlignment="1">
      <alignment horizontal="center" vertical="center" wrapText="1"/>
    </xf>
    <xf numFmtId="1" fontId="41" fillId="2" borderId="0" xfId="0" applyNumberFormat="1" applyFont="1" applyFill="1" applyBorder="1" applyAlignment="1" applyProtection="1">
      <alignment horizontal="center" vertical="center" textRotation="90" wrapText="1"/>
    </xf>
    <xf numFmtId="0" fontId="5" fillId="2" borderId="5"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0" borderId="2" xfId="5" applyFont="1" applyFill="1" applyBorder="1" applyAlignment="1">
      <alignment horizontal="center" vertical="center" wrapText="1"/>
    </xf>
    <xf numFmtId="165" fontId="5" fillId="2" borderId="8" xfId="1" applyNumberFormat="1" applyFont="1" applyFill="1" applyBorder="1" applyAlignment="1">
      <alignment horizontal="center" vertical="center" wrapText="1"/>
    </xf>
    <xf numFmtId="165" fontId="5" fillId="2" borderId="12" xfId="1" applyNumberFormat="1" applyFont="1" applyFill="1" applyBorder="1" applyAlignment="1">
      <alignment horizontal="center" vertical="center" wrapText="1"/>
    </xf>
    <xf numFmtId="165" fontId="5" fillId="2" borderId="9" xfId="1" applyNumberFormat="1" applyFont="1" applyFill="1" applyBorder="1" applyAlignment="1">
      <alignment horizontal="center" vertical="center" wrapText="1"/>
    </xf>
    <xf numFmtId="9" fontId="5" fillId="0" borderId="2" xfId="4" applyFont="1" applyFill="1" applyBorder="1" applyAlignment="1">
      <alignment horizontal="center" vertical="center" textRotation="90" wrapText="1"/>
    </xf>
    <xf numFmtId="166" fontId="5" fillId="0" borderId="5" xfId="4" applyNumberFormat="1" applyFont="1" applyFill="1" applyBorder="1" applyAlignment="1">
      <alignment horizontal="center" vertical="center" wrapText="1"/>
    </xf>
    <xf numFmtId="166" fontId="5" fillId="0" borderId="10" xfId="4" applyNumberFormat="1" applyFont="1" applyFill="1" applyBorder="1" applyAlignment="1">
      <alignment horizontal="center" vertical="center" wrapText="1"/>
    </xf>
    <xf numFmtId="166" fontId="5" fillId="0" borderId="11" xfId="4" applyNumberFormat="1" applyFont="1" applyFill="1" applyBorder="1" applyAlignment="1">
      <alignment horizontal="center" vertical="center" wrapText="1"/>
    </xf>
    <xf numFmtId="172" fontId="35" fillId="2" borderId="2" xfId="8" applyNumberFormat="1" applyFont="1" applyFill="1" applyBorder="1" applyAlignment="1">
      <alignment horizontal="center" vertical="center" wrapText="1"/>
    </xf>
    <xf numFmtId="172" fontId="5" fillId="2" borderId="2" xfId="8" applyNumberFormat="1" applyFont="1" applyFill="1" applyBorder="1" applyAlignment="1">
      <alignment horizontal="center" vertical="center" wrapText="1"/>
    </xf>
    <xf numFmtId="9" fontId="5" fillId="0" borderId="8" xfId="4" applyFont="1" applyFill="1" applyBorder="1" applyAlignment="1">
      <alignment horizontal="center" vertical="center" wrapText="1"/>
    </xf>
    <xf numFmtId="9" fontId="5" fillId="0" borderId="12" xfId="4" applyFont="1" applyFill="1" applyBorder="1" applyAlignment="1">
      <alignment horizontal="center" vertical="center" wrapText="1"/>
    </xf>
    <xf numFmtId="0" fontId="6" fillId="2" borderId="5" xfId="0" applyFont="1" applyFill="1" applyBorder="1" applyAlignment="1" applyProtection="1">
      <alignment horizontal="center" vertical="center" textRotation="90" wrapText="1"/>
    </xf>
    <xf numFmtId="0" fontId="6" fillId="2" borderId="10" xfId="0" applyFont="1" applyFill="1" applyBorder="1" applyAlignment="1" applyProtection="1">
      <alignment horizontal="center" vertical="center" textRotation="90" wrapText="1"/>
    </xf>
    <xf numFmtId="0" fontId="6" fillId="2" borderId="11" xfId="0" applyFont="1" applyFill="1" applyBorder="1" applyAlignment="1" applyProtection="1">
      <alignment horizontal="center" vertical="center" textRotation="90" wrapText="1"/>
    </xf>
    <xf numFmtId="165" fontId="9" fillId="0" borderId="5"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165" fontId="9" fillId="0" borderId="11" xfId="1" applyNumberFormat="1" applyFont="1" applyFill="1" applyBorder="1" applyAlignment="1">
      <alignment horizontal="center" vertical="center" wrapText="1"/>
    </xf>
    <xf numFmtId="165" fontId="57" fillId="0" borderId="2" xfId="1"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9" fontId="5" fillId="2" borderId="2" xfId="4" applyFont="1" applyFill="1" applyBorder="1" applyAlignment="1">
      <alignment horizontal="center" vertical="center" wrapText="1"/>
    </xf>
    <xf numFmtId="9" fontId="5" fillId="2" borderId="2" xfId="4" applyNumberFormat="1" applyFont="1" applyFill="1" applyBorder="1" applyAlignment="1">
      <alignment horizontal="center" vertical="center" wrapText="1"/>
    </xf>
    <xf numFmtId="9" fontId="5" fillId="2" borderId="5" xfId="4" applyFont="1" applyFill="1" applyBorder="1" applyAlignment="1" applyProtection="1">
      <alignment horizontal="center" vertical="center" wrapText="1"/>
      <protection locked="0"/>
    </xf>
    <xf numFmtId="9" fontId="5" fillId="2" borderId="10" xfId="4" applyFont="1" applyFill="1" applyBorder="1" applyAlignment="1" applyProtection="1">
      <alignment horizontal="center" vertical="center" wrapText="1"/>
      <protection locked="0"/>
    </xf>
    <xf numFmtId="9" fontId="5" fillId="2" borderId="11" xfId="4"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5" xfId="5" applyFont="1" applyFill="1" applyBorder="1" applyAlignment="1" applyProtection="1">
      <alignment horizontal="center" vertical="center" wrapText="1"/>
      <protection locked="0"/>
    </xf>
    <xf numFmtId="0" fontId="5" fillId="2" borderId="10" xfId="5" applyFont="1" applyFill="1" applyBorder="1" applyAlignment="1" applyProtection="1">
      <alignment horizontal="center" vertical="center" wrapText="1"/>
      <protection locked="0"/>
    </xf>
    <xf numFmtId="0" fontId="5" fillId="2" borderId="11" xfId="5"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wrapText="1"/>
    </xf>
    <xf numFmtId="0" fontId="44" fillId="2" borderId="5"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3" fillId="2" borderId="5" xfId="6" applyFont="1" applyFill="1" applyBorder="1" applyAlignment="1" applyProtection="1">
      <alignment horizontal="center" vertical="center" wrapText="1"/>
      <protection locked="0"/>
    </xf>
    <xf numFmtId="0" fontId="43" fillId="2" borderId="10" xfId="6" applyFont="1" applyFill="1" applyBorder="1" applyAlignment="1" applyProtection="1">
      <alignment horizontal="center" vertical="center" wrapText="1"/>
      <protection locked="0"/>
    </xf>
    <xf numFmtId="0" fontId="43" fillId="2" borderId="11" xfId="6" applyFont="1" applyFill="1" applyBorder="1" applyAlignment="1" applyProtection="1">
      <alignment horizontal="center" vertical="center" wrapText="1"/>
      <protection locked="0"/>
    </xf>
    <xf numFmtId="9" fontId="59" fillId="2" borderId="2" xfId="4" applyFont="1" applyFill="1" applyBorder="1" applyAlignment="1">
      <alignment horizontal="center" vertical="center" wrapText="1"/>
    </xf>
    <xf numFmtId="0" fontId="6" fillId="2" borderId="5" xfId="5" applyFont="1" applyFill="1" applyBorder="1" applyAlignment="1" applyProtection="1">
      <alignment horizontal="center" vertical="center" wrapText="1"/>
      <protection locked="0"/>
    </xf>
    <xf numFmtId="0" fontId="6" fillId="2" borderId="10" xfId="5" applyFont="1" applyFill="1" applyBorder="1" applyAlignment="1" applyProtection="1">
      <alignment horizontal="center" vertical="center" wrapText="1"/>
      <protection locked="0"/>
    </xf>
    <xf numFmtId="0" fontId="6" fillId="2" borderId="11" xfId="5" applyFont="1" applyFill="1" applyBorder="1" applyAlignment="1" applyProtection="1">
      <alignment horizontal="center" vertical="center" wrapText="1"/>
      <protection locked="0"/>
    </xf>
    <xf numFmtId="10" fontId="5" fillId="2" borderId="2" xfId="4" applyNumberFormat="1" applyFont="1" applyFill="1" applyBorder="1" applyAlignment="1">
      <alignment horizontal="center" vertical="center" wrapText="1"/>
    </xf>
    <xf numFmtId="0" fontId="43" fillId="0" borderId="5" xfId="6" applyFont="1" applyFill="1" applyBorder="1" applyAlignment="1" applyProtection="1">
      <alignment horizontal="center" vertical="center" wrapText="1"/>
      <protection locked="0"/>
    </xf>
    <xf numFmtId="0" fontId="43" fillId="0" borderId="10" xfId="6" applyFont="1" applyFill="1" applyBorder="1" applyAlignment="1" applyProtection="1">
      <alignment horizontal="center" vertical="center" wrapText="1"/>
      <protection locked="0"/>
    </xf>
    <xf numFmtId="0" fontId="43" fillId="0" borderId="11" xfId="6" applyFont="1" applyFill="1" applyBorder="1" applyAlignment="1" applyProtection="1">
      <alignment horizontal="center" vertical="center" wrapText="1"/>
      <protection locked="0"/>
    </xf>
    <xf numFmtId="166" fontId="5" fillId="2" borderId="2" xfId="4" applyNumberFormat="1" applyFont="1" applyFill="1" applyBorder="1" applyAlignment="1">
      <alignment horizontal="center" vertical="center" wrapText="1"/>
    </xf>
    <xf numFmtId="166" fontId="5" fillId="2" borderId="5" xfId="4" applyNumberFormat="1" applyFont="1" applyFill="1" applyBorder="1" applyAlignment="1">
      <alignment horizontal="center" vertical="center" wrapText="1"/>
    </xf>
    <xf numFmtId="166" fontId="5" fillId="2" borderId="10" xfId="4" applyNumberFormat="1" applyFont="1" applyFill="1" applyBorder="1" applyAlignment="1">
      <alignment horizontal="center" vertical="center" wrapText="1"/>
    </xf>
    <xf numFmtId="166" fontId="5" fillId="2" borderId="11" xfId="4" applyNumberFormat="1" applyFont="1" applyFill="1" applyBorder="1" applyAlignment="1">
      <alignment horizontal="center" vertical="center" wrapText="1"/>
    </xf>
    <xf numFmtId="10" fontId="5" fillId="2" borderId="5" xfId="4" applyNumberFormat="1" applyFont="1" applyFill="1" applyBorder="1" applyAlignment="1">
      <alignment horizontal="center" vertical="center" wrapText="1"/>
    </xf>
    <xf numFmtId="10" fontId="5" fillId="2" borderId="10" xfId="4" applyNumberFormat="1" applyFont="1" applyFill="1" applyBorder="1" applyAlignment="1">
      <alignment horizontal="center" vertical="center" wrapText="1"/>
    </xf>
    <xf numFmtId="10" fontId="5" fillId="2" borderId="11" xfId="4" applyNumberFormat="1" applyFont="1" applyFill="1" applyBorder="1" applyAlignment="1">
      <alignment horizontal="center" vertical="center" wrapText="1"/>
    </xf>
    <xf numFmtId="9" fontId="5" fillId="2" borderId="5" xfId="4" applyNumberFormat="1" applyFont="1" applyFill="1" applyBorder="1" applyAlignment="1">
      <alignment horizontal="center" vertical="center" wrapText="1"/>
    </xf>
    <xf numFmtId="9" fontId="5" fillId="2" borderId="10" xfId="4" applyNumberFormat="1" applyFont="1" applyFill="1" applyBorder="1" applyAlignment="1">
      <alignment horizontal="center" vertical="center" wrapText="1"/>
    </xf>
    <xf numFmtId="9" fontId="5" fillId="2" borderId="11" xfId="4" applyNumberFormat="1"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10" fontId="5" fillId="0" borderId="2" xfId="4"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9" fontId="5" fillId="2" borderId="5" xfId="4" applyFont="1" applyFill="1" applyBorder="1" applyAlignment="1">
      <alignment horizontal="center" vertical="center" textRotation="90" wrapText="1"/>
    </xf>
    <xf numFmtId="9" fontId="5" fillId="2" borderId="10" xfId="4" applyFont="1" applyFill="1" applyBorder="1" applyAlignment="1">
      <alignment horizontal="center" vertical="center" textRotation="90" wrapText="1"/>
    </xf>
    <xf numFmtId="9" fontId="5" fillId="2" borderId="11" xfId="4" applyFont="1" applyFill="1" applyBorder="1" applyAlignment="1">
      <alignment horizontal="center" vertical="center" textRotation="90" wrapText="1"/>
    </xf>
    <xf numFmtId="0" fontId="5" fillId="2" borderId="2" xfId="0" applyFont="1" applyFill="1" applyBorder="1" applyAlignment="1">
      <alignment horizontal="center" vertical="center" wrapText="1"/>
    </xf>
    <xf numFmtId="166" fontId="5" fillId="0" borderId="2" xfId="4"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8" fillId="0" borderId="10"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4" fontId="9" fillId="0" borderId="10" xfId="0" applyNumberFormat="1"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textRotation="90" wrapText="1"/>
      <protection locked="0"/>
    </xf>
    <xf numFmtId="0" fontId="6" fillId="2" borderId="2" xfId="5" applyFont="1" applyFill="1" applyBorder="1" applyAlignment="1" applyProtection="1">
      <alignment horizontal="center" vertical="center" wrapText="1"/>
      <protection locked="0"/>
    </xf>
    <xf numFmtId="165" fontId="11" fillId="0" borderId="2" xfId="1" applyNumberFormat="1"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5" fillId="0" borderId="10" xfId="5" applyFont="1" applyFill="1" applyBorder="1" applyAlignment="1" applyProtection="1">
      <alignment horizontal="center" vertical="center" wrapText="1"/>
    </xf>
    <xf numFmtId="0" fontId="5" fillId="0" borderId="11" xfId="5"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164" fontId="5" fillId="0" borderId="5" xfId="4" applyNumberFormat="1" applyFont="1" applyFill="1" applyBorder="1" applyAlignment="1" applyProtection="1">
      <alignment horizontal="center" vertical="center" wrapText="1"/>
    </xf>
    <xf numFmtId="164" fontId="5" fillId="0" borderId="10" xfId="4" applyNumberFormat="1" applyFont="1" applyFill="1" applyBorder="1" applyAlignment="1" applyProtection="1">
      <alignment horizontal="center" vertical="center" wrapText="1"/>
    </xf>
    <xf numFmtId="164" fontId="5" fillId="0" borderId="11" xfId="4" applyNumberFormat="1" applyFont="1" applyFill="1" applyBorder="1" applyAlignment="1" applyProtection="1">
      <alignment horizontal="center" vertical="center" wrapText="1"/>
    </xf>
    <xf numFmtId="172" fontId="35" fillId="0" borderId="5" xfId="3" applyNumberFormat="1" applyFont="1" applyFill="1" applyBorder="1" applyAlignment="1" applyProtection="1">
      <alignment horizontal="center" vertical="center" wrapText="1"/>
    </xf>
    <xf numFmtId="172" fontId="35" fillId="0" borderId="10" xfId="3" applyNumberFormat="1" applyFont="1" applyFill="1" applyBorder="1" applyAlignment="1" applyProtection="1">
      <alignment horizontal="center" vertical="center" wrapText="1"/>
    </xf>
    <xf numFmtId="172" fontId="35" fillId="0" borderId="11" xfId="3" applyNumberFormat="1" applyFont="1" applyFill="1" applyBorder="1" applyAlignment="1" applyProtection="1">
      <alignment horizontal="center" vertical="center" wrapText="1"/>
    </xf>
    <xf numFmtId="172" fontId="5" fillId="0" borderId="5" xfId="3" applyNumberFormat="1" applyFont="1" applyFill="1" applyBorder="1" applyAlignment="1" applyProtection="1">
      <alignment horizontal="center" vertical="center" wrapText="1"/>
    </xf>
    <xf numFmtId="172" fontId="5" fillId="0" borderId="10" xfId="3" applyNumberFormat="1" applyFont="1" applyFill="1" applyBorder="1" applyAlignment="1" applyProtection="1">
      <alignment horizontal="center" vertical="center" wrapText="1"/>
    </xf>
    <xf numFmtId="172" fontId="5" fillId="0" borderId="11" xfId="3" applyNumberFormat="1" applyFont="1" applyFill="1" applyBorder="1" applyAlignment="1" applyProtection="1">
      <alignment horizontal="center" vertical="center" wrapText="1"/>
    </xf>
    <xf numFmtId="165" fontId="5" fillId="0" borderId="8" xfId="1" applyNumberFormat="1" applyFont="1" applyFill="1" applyBorder="1" applyAlignment="1" applyProtection="1">
      <alignment horizontal="center" vertical="center" wrapText="1"/>
    </xf>
    <xf numFmtId="165" fontId="5" fillId="0" borderId="12" xfId="1" applyNumberFormat="1" applyFont="1" applyFill="1" applyBorder="1" applyAlignment="1" applyProtection="1">
      <alignment horizontal="center" vertical="center" wrapText="1"/>
    </xf>
    <xf numFmtId="165" fontId="5" fillId="0" borderId="9" xfId="1" applyNumberFormat="1" applyFont="1" applyFill="1" applyBorder="1" applyAlignment="1" applyProtection="1">
      <alignment horizontal="center" vertical="center" wrapText="1"/>
    </xf>
    <xf numFmtId="0" fontId="44" fillId="0" borderId="5" xfId="5" applyFont="1" applyFill="1" applyBorder="1" applyAlignment="1" applyProtection="1">
      <alignment horizontal="center" vertical="center" wrapText="1"/>
    </xf>
    <xf numFmtId="0" fontId="44" fillId="0" borderId="10" xfId="5" applyFont="1" applyFill="1" applyBorder="1" applyAlignment="1" applyProtection="1">
      <alignment horizontal="center" vertical="center" wrapText="1"/>
    </xf>
    <xf numFmtId="0" fontId="44" fillId="0" borderId="11" xfId="5" applyFont="1" applyFill="1" applyBorder="1" applyAlignment="1" applyProtection="1">
      <alignment horizontal="center" vertical="center" wrapText="1"/>
    </xf>
    <xf numFmtId="9" fontId="44" fillId="0" borderId="5" xfId="4" applyFont="1" applyFill="1" applyBorder="1" applyAlignment="1" applyProtection="1">
      <alignment horizontal="center" vertical="center" wrapText="1"/>
    </xf>
    <xf numFmtId="9" fontId="44" fillId="0" borderId="10" xfId="4" applyFont="1" applyFill="1" applyBorder="1" applyAlignment="1" applyProtection="1">
      <alignment horizontal="center" vertical="center" wrapText="1"/>
    </xf>
    <xf numFmtId="9" fontId="44" fillId="0" borderId="11" xfId="4" applyFont="1" applyFill="1" applyBorder="1" applyAlignment="1" applyProtection="1">
      <alignment horizontal="center" vertical="center" wrapText="1"/>
    </xf>
    <xf numFmtId="0" fontId="6" fillId="2" borderId="5" xfId="5" applyFont="1" applyFill="1" applyBorder="1" applyAlignment="1" applyProtection="1">
      <alignment horizontal="center" vertical="center" textRotation="90" wrapText="1"/>
    </xf>
    <xf numFmtId="0" fontId="6" fillId="2" borderId="10" xfId="5" applyFont="1" applyFill="1" applyBorder="1" applyAlignment="1" applyProtection="1">
      <alignment horizontal="center" vertical="center" textRotation="90" wrapText="1"/>
    </xf>
    <xf numFmtId="0" fontId="6" fillId="2" borderId="11" xfId="5" applyFont="1" applyFill="1" applyBorder="1" applyAlignment="1" applyProtection="1">
      <alignment horizontal="center" vertical="center" textRotation="90" wrapText="1"/>
    </xf>
    <xf numFmtId="172" fontId="35" fillId="0" borderId="5" xfId="8" applyNumberFormat="1" applyFont="1" applyFill="1" applyBorder="1" applyAlignment="1">
      <alignment horizontal="center" vertical="center" wrapText="1"/>
    </xf>
    <xf numFmtId="172" fontId="35" fillId="0" borderId="10" xfId="8" applyNumberFormat="1" applyFont="1" applyFill="1" applyBorder="1" applyAlignment="1">
      <alignment horizontal="center" vertical="center" wrapText="1"/>
    </xf>
    <xf numFmtId="172" fontId="35" fillId="0" borderId="11" xfId="8" applyNumberFormat="1" applyFont="1" applyFill="1" applyBorder="1" applyAlignment="1">
      <alignment horizontal="center" vertical="center" wrapText="1"/>
    </xf>
    <xf numFmtId="172" fontId="5" fillId="0" borderId="5" xfId="8" applyNumberFormat="1" applyFont="1" applyFill="1" applyBorder="1" applyAlignment="1">
      <alignment horizontal="center" vertical="center" wrapText="1"/>
    </xf>
    <xf numFmtId="172" fontId="5" fillId="0" borderId="10" xfId="8" applyNumberFormat="1" applyFont="1" applyFill="1" applyBorder="1" applyAlignment="1">
      <alignment horizontal="center" vertical="center" wrapText="1"/>
    </xf>
    <xf numFmtId="172" fontId="5" fillId="0" borderId="11" xfId="8" applyNumberFormat="1" applyFont="1" applyFill="1" applyBorder="1" applyAlignment="1">
      <alignment horizontal="center" vertical="center" wrapText="1"/>
    </xf>
    <xf numFmtId="0" fontId="6" fillId="2" borderId="5" xfId="5" applyFont="1" applyFill="1" applyBorder="1" applyAlignment="1">
      <alignment horizontal="center" vertical="center" wrapText="1"/>
    </xf>
    <xf numFmtId="0" fontId="6" fillId="2" borderId="10" xfId="5" applyFont="1" applyFill="1" applyBorder="1" applyAlignment="1">
      <alignment horizontal="center" vertical="center" wrapText="1"/>
    </xf>
    <xf numFmtId="0" fontId="6" fillId="2" borderId="11" xfId="5"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165" fontId="5" fillId="0" borderId="8" xfId="1" applyNumberFormat="1" applyFont="1" applyFill="1" applyBorder="1" applyAlignment="1">
      <alignment horizontal="center" vertical="center" wrapText="1"/>
    </xf>
    <xf numFmtId="165" fontId="5" fillId="0" borderId="12" xfId="1" applyNumberFormat="1" applyFont="1" applyFill="1" applyBorder="1" applyAlignment="1">
      <alignment horizontal="center" vertical="center" wrapText="1"/>
    </xf>
    <xf numFmtId="165" fontId="5" fillId="0" borderId="9" xfId="1" applyNumberFormat="1" applyFont="1" applyFill="1" applyBorder="1" applyAlignment="1">
      <alignment horizontal="center" vertical="center" wrapText="1"/>
    </xf>
    <xf numFmtId="0" fontId="6" fillId="2" borderId="5"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8" fillId="2" borderId="7" xfId="0" applyFont="1" applyFill="1" applyBorder="1" applyAlignment="1" applyProtection="1">
      <alignment horizontal="center" vertical="center" wrapText="1"/>
    </xf>
    <xf numFmtId="9" fontId="5" fillId="0" borderId="2" xfId="4"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9" fontId="5" fillId="0" borderId="5" xfId="4" applyNumberFormat="1" applyFont="1" applyFill="1" applyBorder="1" applyAlignment="1">
      <alignment horizontal="center" vertical="center" wrapText="1"/>
    </xf>
    <xf numFmtId="9" fontId="5" fillId="0" borderId="10" xfId="4" applyNumberFormat="1" applyFont="1" applyFill="1" applyBorder="1" applyAlignment="1">
      <alignment horizontal="center" vertical="center" wrapText="1"/>
    </xf>
    <xf numFmtId="9" fontId="5" fillId="0" borderId="11" xfId="4" applyNumberFormat="1" applyFont="1" applyFill="1" applyBorder="1" applyAlignment="1">
      <alignment horizontal="center" vertical="center" wrapText="1"/>
    </xf>
    <xf numFmtId="169" fontId="35" fillId="0" borderId="5" xfId="8" applyNumberFormat="1" applyFont="1" applyFill="1" applyBorder="1" applyAlignment="1">
      <alignment horizontal="right" vertical="center" wrapText="1"/>
    </xf>
    <xf numFmtId="169" fontId="35" fillId="0" borderId="10" xfId="8" applyNumberFormat="1" applyFont="1" applyFill="1" applyBorder="1" applyAlignment="1">
      <alignment horizontal="right" vertical="center" wrapText="1"/>
    </xf>
    <xf numFmtId="169" fontId="35" fillId="0" borderId="11" xfId="8" applyNumberFormat="1" applyFont="1" applyFill="1" applyBorder="1" applyAlignment="1">
      <alignment horizontal="right" vertical="center" wrapText="1"/>
    </xf>
    <xf numFmtId="0" fontId="6" fillId="2" borderId="2" xfId="0" applyFont="1" applyFill="1" applyBorder="1" applyAlignment="1">
      <alignment horizontal="center" vertical="center" textRotation="90" wrapText="1"/>
    </xf>
    <xf numFmtId="0" fontId="39" fillId="10" borderId="0" xfId="0" applyFont="1" applyFill="1" applyBorder="1" applyAlignment="1" applyProtection="1">
      <alignment horizontal="center" vertical="center" wrapText="1"/>
    </xf>
    <xf numFmtId="165" fontId="44" fillId="2" borderId="2" xfId="1" applyNumberFormat="1" applyFont="1" applyFill="1" applyBorder="1" applyAlignment="1">
      <alignment horizontal="center" vertical="center" wrapText="1"/>
    </xf>
    <xf numFmtId="165" fontId="44" fillId="2" borderId="8" xfId="1" applyNumberFormat="1" applyFont="1" applyFill="1" applyBorder="1" applyAlignment="1">
      <alignment horizontal="center" vertical="center" wrapText="1"/>
    </xf>
    <xf numFmtId="165" fontId="44" fillId="2" borderId="12" xfId="1" applyNumberFormat="1" applyFont="1" applyFill="1" applyBorder="1" applyAlignment="1">
      <alignment horizontal="center" vertical="center" wrapText="1"/>
    </xf>
    <xf numFmtId="165" fontId="44" fillId="2" borderId="9" xfId="1"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2" borderId="2" xfId="5" applyFont="1" applyFill="1" applyBorder="1" applyAlignment="1">
      <alignment horizontal="center" vertical="center" wrapText="1"/>
    </xf>
    <xf numFmtId="0" fontId="5" fillId="2" borderId="0" xfId="5" applyFont="1" applyFill="1" applyBorder="1" applyAlignment="1">
      <alignment horizontal="center"/>
    </xf>
    <xf numFmtId="9" fontId="44" fillId="2" borderId="2" xfId="0" applyNumberFormat="1" applyFont="1" applyFill="1" applyBorder="1" applyAlignment="1">
      <alignment horizontal="center" vertical="center" wrapText="1"/>
    </xf>
    <xf numFmtId="9" fontId="44" fillId="0" borderId="2" xfId="0" applyNumberFormat="1" applyFont="1" applyFill="1" applyBorder="1" applyAlignment="1">
      <alignment horizontal="center" vertical="center" wrapText="1"/>
    </xf>
    <xf numFmtId="9" fontId="44" fillId="0" borderId="2" xfId="4" applyNumberFormat="1" applyFont="1" applyFill="1" applyBorder="1" applyAlignment="1">
      <alignment horizontal="center" vertical="center" wrapText="1"/>
    </xf>
    <xf numFmtId="9" fontId="44" fillId="0" borderId="5" xfId="4" applyFont="1" applyFill="1" applyBorder="1" applyAlignment="1">
      <alignment horizontal="center" vertical="center" textRotation="90" wrapText="1"/>
    </xf>
    <xf numFmtId="9" fontId="44" fillId="0" borderId="10" xfId="4" applyFont="1" applyFill="1" applyBorder="1" applyAlignment="1">
      <alignment horizontal="center" vertical="center" textRotation="90" wrapText="1"/>
    </xf>
    <xf numFmtId="9" fontId="44" fillId="0" borderId="11" xfId="4" applyFont="1" applyFill="1" applyBorder="1" applyAlignment="1">
      <alignment horizontal="center" vertical="center" textRotation="90" wrapText="1"/>
    </xf>
    <xf numFmtId="9" fontId="44" fillId="0" borderId="2" xfId="4" applyFont="1" applyFill="1" applyBorder="1" applyAlignment="1">
      <alignment horizontal="center" vertical="center" wrapText="1"/>
    </xf>
    <xf numFmtId="165" fontId="44" fillId="0" borderId="2" xfId="1" applyNumberFormat="1" applyFont="1" applyFill="1" applyBorder="1" applyAlignment="1">
      <alignment horizontal="center" vertical="center" wrapText="1"/>
    </xf>
    <xf numFmtId="165" fontId="44" fillId="0" borderId="8" xfId="1" applyNumberFormat="1" applyFont="1" applyFill="1" applyBorder="1" applyAlignment="1">
      <alignment horizontal="center" vertical="center" wrapText="1"/>
    </xf>
    <xf numFmtId="165" fontId="44" fillId="0" borderId="12" xfId="1" applyNumberFormat="1" applyFont="1" applyFill="1" applyBorder="1" applyAlignment="1">
      <alignment horizontal="center" vertical="center" wrapText="1"/>
    </xf>
    <xf numFmtId="165" fontId="44" fillId="0" borderId="9" xfId="1"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9" fontId="5" fillId="0" borderId="2" xfId="4" applyFont="1" applyFill="1" applyBorder="1" applyAlignment="1">
      <alignment horizontal="center" vertical="center"/>
    </xf>
    <xf numFmtId="9" fontId="5" fillId="0" borderId="8" xfId="4" applyFont="1" applyFill="1" applyBorder="1" applyAlignment="1">
      <alignment horizontal="center" vertical="center" textRotation="90" wrapText="1"/>
    </xf>
    <xf numFmtId="9" fontId="5" fillId="0" borderId="12" xfId="4" applyFont="1" applyFill="1" applyBorder="1" applyAlignment="1">
      <alignment horizontal="center" vertical="center" textRotation="90" wrapText="1"/>
    </xf>
    <xf numFmtId="9" fontId="5" fillId="0" borderId="9" xfId="4" applyFont="1" applyFill="1" applyBorder="1" applyAlignment="1">
      <alignment horizontal="center" vertical="center" textRotation="90" wrapText="1"/>
    </xf>
    <xf numFmtId="44" fontId="5" fillId="0" borderId="5" xfId="3" applyFont="1" applyFill="1" applyBorder="1" applyAlignment="1" applyProtection="1">
      <alignment horizontal="center" vertical="center" wrapText="1"/>
    </xf>
    <xf numFmtId="44" fontId="5" fillId="0" borderId="10" xfId="3" applyFont="1" applyFill="1" applyBorder="1" applyAlignment="1" applyProtection="1">
      <alignment horizontal="center" vertical="center" wrapText="1"/>
    </xf>
    <xf numFmtId="44" fontId="5" fillId="0" borderId="11" xfId="3" applyFont="1" applyFill="1" applyBorder="1" applyAlignment="1" applyProtection="1">
      <alignment horizontal="center" vertical="center" wrapText="1"/>
    </xf>
    <xf numFmtId="44" fontId="35" fillId="0" borderId="5" xfId="3" applyFont="1" applyFill="1" applyBorder="1" applyAlignment="1" applyProtection="1">
      <alignment horizontal="center" vertical="center" wrapText="1"/>
    </xf>
    <xf numFmtId="44" fontId="35" fillId="0" borderId="10" xfId="3" applyFont="1" applyFill="1" applyBorder="1" applyAlignment="1" applyProtection="1">
      <alignment horizontal="center" vertical="center" wrapText="1"/>
    </xf>
    <xf numFmtId="44" fontId="35" fillId="0" borderId="11" xfId="3"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10" xfId="0" applyNumberFormat="1" applyFont="1" applyFill="1" applyBorder="1" applyAlignment="1" applyProtection="1">
      <alignment horizontal="center" vertical="center" wrapText="1"/>
    </xf>
    <xf numFmtId="3" fontId="5" fillId="0" borderId="11" xfId="0" applyNumberFormat="1" applyFont="1" applyFill="1" applyBorder="1" applyAlignment="1" applyProtection="1">
      <alignment horizontal="center" vertical="center" wrapText="1"/>
    </xf>
    <xf numFmtId="0" fontId="6" fillId="0" borderId="5" xfId="5" applyFont="1" applyFill="1" applyBorder="1" applyAlignment="1" applyProtection="1">
      <alignment horizontal="center" vertical="center" wrapText="1"/>
    </xf>
    <xf numFmtId="0" fontId="6" fillId="0" borderId="10" xfId="5" applyFont="1" applyFill="1" applyBorder="1" applyAlignment="1" applyProtection="1">
      <alignment horizontal="center" vertical="center" wrapText="1"/>
    </xf>
    <xf numFmtId="0" fontId="6" fillId="0" borderId="11" xfId="5" applyFont="1" applyFill="1" applyBorder="1" applyAlignment="1" applyProtection="1">
      <alignment horizontal="center" vertical="center" wrapText="1"/>
    </xf>
    <xf numFmtId="9" fontId="5" fillId="2" borderId="5" xfId="0" applyNumberFormat="1" applyFont="1" applyFill="1" applyBorder="1" applyAlignment="1" applyProtection="1">
      <alignment horizontal="center" vertical="center" wrapText="1"/>
    </xf>
    <xf numFmtId="9" fontId="5" fillId="2" borderId="10" xfId="0" applyNumberFormat="1" applyFont="1" applyFill="1" applyBorder="1" applyAlignment="1" applyProtection="1">
      <alignment horizontal="center" vertical="center" wrapText="1"/>
    </xf>
    <xf numFmtId="9" fontId="5" fillId="2" borderId="11"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1" fontId="5" fillId="0" borderId="5" xfId="0" applyNumberFormat="1" applyFont="1" applyFill="1" applyBorder="1" applyAlignment="1" applyProtection="1">
      <alignment horizontal="center" vertical="center" textRotation="2" wrapText="1"/>
    </xf>
    <xf numFmtId="1" fontId="5" fillId="0" borderId="10" xfId="0" applyNumberFormat="1" applyFont="1" applyFill="1" applyBorder="1" applyAlignment="1" applyProtection="1">
      <alignment horizontal="center" vertical="center" textRotation="2" wrapText="1"/>
    </xf>
    <xf numFmtId="1" fontId="5" fillId="0" borderId="11" xfId="0" applyNumberFormat="1" applyFont="1" applyFill="1" applyBorder="1" applyAlignment="1" applyProtection="1">
      <alignment horizontal="center" vertical="center" textRotation="2" wrapText="1"/>
    </xf>
    <xf numFmtId="1" fontId="44" fillId="0" borderId="2" xfId="5" applyNumberFormat="1"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5" fillId="0" borderId="10"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0" fontId="44" fillId="0" borderId="5" xfId="0" applyFont="1" applyFill="1" applyBorder="1" applyAlignment="1" applyProtection="1">
      <alignment horizontal="justify" vertical="center" wrapText="1"/>
    </xf>
    <xf numFmtId="0" fontId="44" fillId="0" borderId="10" xfId="0" applyFont="1" applyFill="1" applyBorder="1" applyAlignment="1" applyProtection="1">
      <alignment horizontal="justify" vertical="center" wrapText="1"/>
    </xf>
    <xf numFmtId="0" fontId="44" fillId="0" borderId="11" xfId="0" applyFont="1" applyFill="1" applyBorder="1" applyAlignment="1" applyProtection="1">
      <alignment horizontal="justify" vertical="center" wrapText="1"/>
    </xf>
    <xf numFmtId="0" fontId="20" fillId="21" borderId="16" xfId="0" applyFont="1" applyFill="1" applyBorder="1" applyAlignment="1" applyProtection="1">
      <alignment horizontal="center" vertical="center" wrapText="1"/>
    </xf>
    <xf numFmtId="0" fontId="20" fillId="21" borderId="18" xfId="0" applyFont="1" applyFill="1" applyBorder="1" applyAlignment="1" applyProtection="1">
      <alignment horizontal="center" vertical="center" wrapText="1"/>
    </xf>
    <xf numFmtId="0" fontId="20" fillId="21" borderId="19" xfId="0" applyFont="1" applyFill="1" applyBorder="1" applyAlignment="1" applyProtection="1">
      <alignment horizontal="center" vertical="center" wrapText="1"/>
    </xf>
    <xf numFmtId="166" fontId="5" fillId="0" borderId="5" xfId="0" applyNumberFormat="1" applyFont="1" applyFill="1" applyBorder="1" applyAlignment="1">
      <alignment horizontal="center" vertical="center" wrapText="1"/>
    </xf>
    <xf numFmtId="166" fontId="5" fillId="0" borderId="10" xfId="0" applyNumberFormat="1" applyFont="1" applyFill="1" applyBorder="1" applyAlignment="1">
      <alignment horizontal="center" vertical="center" wrapText="1"/>
    </xf>
    <xf numFmtId="166" fontId="5" fillId="0" borderId="11" xfId="0" applyNumberFormat="1" applyFont="1" applyFill="1" applyBorder="1" applyAlignment="1">
      <alignment horizontal="center" vertical="center" wrapText="1"/>
    </xf>
    <xf numFmtId="9" fontId="5" fillId="0" borderId="5" xfId="4" applyFont="1" applyFill="1" applyBorder="1" applyAlignment="1">
      <alignment horizontal="center" vertical="center"/>
    </xf>
    <xf numFmtId="9" fontId="5" fillId="0" borderId="10" xfId="4" applyFont="1" applyFill="1" applyBorder="1" applyAlignment="1">
      <alignment horizontal="center" vertical="center"/>
    </xf>
    <xf numFmtId="9" fontId="5" fillId="0" borderId="11" xfId="4" applyFont="1" applyFill="1" applyBorder="1" applyAlignment="1">
      <alignment horizontal="center" vertical="center"/>
    </xf>
    <xf numFmtId="165" fontId="5" fillId="0" borderId="2" xfId="7" applyNumberFormat="1" applyFont="1" applyFill="1" applyBorder="1" applyAlignment="1" applyProtection="1">
      <alignment horizontal="center" vertical="center" wrapText="1"/>
    </xf>
    <xf numFmtId="44" fontId="35" fillId="0" borderId="2" xfId="3" applyFont="1" applyFill="1" applyBorder="1" applyAlignment="1" applyProtection="1">
      <alignment horizontal="center" vertical="center" wrapText="1"/>
    </xf>
    <xf numFmtId="44" fontId="5" fillId="0" borderId="2" xfId="3" applyFont="1" applyFill="1" applyBorder="1" applyAlignment="1" applyProtection="1">
      <alignment horizontal="center" vertical="center" wrapText="1"/>
    </xf>
    <xf numFmtId="0" fontId="6" fillId="0" borderId="2" xfId="0" applyFont="1" applyFill="1" applyBorder="1" applyAlignment="1" applyProtection="1">
      <alignment horizontal="center" vertical="center" textRotation="90" wrapText="1"/>
    </xf>
    <xf numFmtId="0" fontId="20" fillId="21" borderId="2" xfId="0" applyFont="1" applyFill="1" applyBorder="1" applyAlignment="1" applyProtection="1">
      <alignment horizontal="center" vertical="center" wrapText="1"/>
    </xf>
    <xf numFmtId="3" fontId="5" fillId="0" borderId="5"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164" fontId="35" fillId="0" borderId="5" xfId="0" applyNumberFormat="1" applyFont="1" applyFill="1" applyBorder="1" applyAlignment="1">
      <alignment horizontal="center" vertical="center" wrapText="1"/>
    </xf>
    <xf numFmtId="164" fontId="35" fillId="0" borderId="10" xfId="0" applyNumberFormat="1" applyFont="1" applyFill="1" applyBorder="1" applyAlignment="1">
      <alignment horizontal="center" vertical="center" wrapText="1"/>
    </xf>
    <xf numFmtId="164" fontId="35" fillId="0" borderId="1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10" xfId="5" applyFont="1" applyFill="1" applyBorder="1" applyAlignment="1">
      <alignment horizontal="center" vertical="center" wrapText="1"/>
    </xf>
    <xf numFmtId="0" fontId="5" fillId="2" borderId="11" xfId="5" applyFont="1" applyFill="1" applyBorder="1" applyAlignment="1">
      <alignment horizontal="center" vertical="center" wrapText="1"/>
    </xf>
    <xf numFmtId="3" fontId="5" fillId="20" borderId="0" xfId="0" applyNumberFormat="1" applyFont="1" applyFill="1" applyBorder="1" applyAlignment="1" applyProtection="1">
      <alignment horizontal="center" vertical="center" textRotation="90"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9" fontId="5" fillId="22" borderId="5" xfId="4" applyNumberFormat="1" applyFont="1" applyFill="1" applyBorder="1" applyAlignment="1">
      <alignment horizontal="center" vertical="center" wrapText="1"/>
    </xf>
    <xf numFmtId="9" fontId="5" fillId="22" borderId="10" xfId="4" applyNumberFormat="1" applyFont="1" applyFill="1" applyBorder="1" applyAlignment="1">
      <alignment horizontal="center" vertical="center" wrapText="1"/>
    </xf>
    <xf numFmtId="9" fontId="5" fillId="22" borderId="11" xfId="4" applyNumberFormat="1" applyFont="1" applyFill="1" applyBorder="1" applyAlignment="1">
      <alignment horizontal="center" vertical="center" wrapText="1"/>
    </xf>
    <xf numFmtId="3" fontId="5" fillId="0" borderId="0" xfId="0" applyNumberFormat="1" applyFont="1" applyFill="1" applyBorder="1" applyAlignment="1" applyProtection="1">
      <alignment horizontal="center" vertical="center" textRotation="90" wrapText="1"/>
    </xf>
    <xf numFmtId="9" fontId="5" fillId="22" borderId="5" xfId="4" applyFont="1" applyFill="1" applyBorder="1" applyAlignment="1">
      <alignment horizontal="center" vertical="center" wrapText="1"/>
    </xf>
    <xf numFmtId="9" fontId="5" fillId="22" borderId="10" xfId="4" applyFont="1" applyFill="1" applyBorder="1" applyAlignment="1">
      <alignment horizontal="center" vertical="center" wrapText="1"/>
    </xf>
    <xf numFmtId="9" fontId="5" fillId="22" borderId="11" xfId="4" applyFont="1" applyFill="1" applyBorder="1" applyAlignment="1">
      <alignment horizontal="center" vertical="center" wrapText="1"/>
    </xf>
    <xf numFmtId="0" fontId="35" fillId="0" borderId="5" xfId="5" applyFont="1" applyFill="1" applyBorder="1" applyAlignment="1">
      <alignment horizontal="center" vertical="center" wrapText="1"/>
    </xf>
    <xf numFmtId="0" fontId="35" fillId="0" borderId="10" xfId="5" applyFont="1" applyFill="1" applyBorder="1" applyAlignment="1">
      <alignment horizontal="center" vertical="center" wrapText="1"/>
    </xf>
    <xf numFmtId="0" fontId="35" fillId="0" borderId="11" xfId="5" applyFont="1" applyFill="1" applyBorder="1" applyAlignment="1">
      <alignment horizontal="center" vertical="center" wrapText="1"/>
    </xf>
    <xf numFmtId="9" fontId="5" fillId="22" borderId="5" xfId="0" applyNumberFormat="1" applyFont="1" applyFill="1" applyBorder="1" applyAlignment="1">
      <alignment horizontal="center" vertical="center" wrapText="1"/>
    </xf>
    <xf numFmtId="9" fontId="5" fillId="22" borderId="10" xfId="0" applyNumberFormat="1" applyFont="1" applyFill="1" applyBorder="1" applyAlignment="1">
      <alignment horizontal="center" vertical="center" wrapText="1"/>
    </xf>
    <xf numFmtId="9" fontId="5" fillId="22" borderId="11"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9" fontId="5" fillId="0" borderId="22" xfId="0" applyNumberFormat="1" applyFont="1" applyFill="1" applyBorder="1" applyAlignment="1">
      <alignment horizontal="center" vertical="center" wrapText="1"/>
    </xf>
    <xf numFmtId="9" fontId="5" fillId="0" borderId="23" xfId="0" applyNumberFormat="1" applyFont="1" applyFill="1" applyBorder="1" applyAlignment="1">
      <alignment horizontal="center" vertical="center" wrapText="1"/>
    </xf>
    <xf numFmtId="9" fontId="5" fillId="0" borderId="25" xfId="0" applyNumberFormat="1" applyFont="1" applyFill="1" applyBorder="1" applyAlignment="1">
      <alignment horizontal="center" vertical="center" wrapText="1"/>
    </xf>
    <xf numFmtId="9" fontId="7" fillId="0" borderId="14" xfId="4" applyFont="1" applyBorder="1" applyAlignment="1">
      <alignment horizontal="center" vertical="center" wrapText="1"/>
    </xf>
    <xf numFmtId="9" fontId="7" fillId="0" borderId="15" xfId="4" applyFont="1" applyBorder="1" applyAlignment="1">
      <alignment horizontal="center" vertical="center" wrapText="1"/>
    </xf>
    <xf numFmtId="9" fontId="7" fillId="0" borderId="20" xfId="4" applyFont="1" applyBorder="1" applyAlignment="1">
      <alignment horizontal="center" vertical="center" wrapText="1"/>
    </xf>
    <xf numFmtId="0" fontId="5" fillId="0" borderId="5" xfId="5" applyFont="1" applyFill="1" applyBorder="1" applyAlignment="1" applyProtection="1">
      <alignment horizontal="center" vertical="center" wrapText="1"/>
      <protection locked="0"/>
    </xf>
    <xf numFmtId="0" fontId="5" fillId="0" borderId="10" xfId="5" applyFont="1" applyFill="1" applyBorder="1" applyAlignment="1" applyProtection="1">
      <alignment horizontal="center" vertical="center" wrapText="1"/>
      <protection locked="0"/>
    </xf>
    <xf numFmtId="0" fontId="5" fillId="0" borderId="11" xfId="5" applyFont="1" applyFill="1" applyBorder="1" applyAlignment="1" applyProtection="1">
      <alignment horizontal="center" vertical="center" wrapText="1"/>
      <protection locked="0"/>
    </xf>
    <xf numFmtId="165" fontId="7" fillId="2" borderId="5" xfId="1" applyNumberFormat="1" applyFont="1" applyFill="1" applyBorder="1" applyAlignment="1">
      <alignment horizontal="center" vertical="center" wrapText="1"/>
    </xf>
    <xf numFmtId="165" fontId="7" fillId="2" borderId="10" xfId="1" applyNumberFormat="1" applyFont="1" applyFill="1" applyBorder="1" applyAlignment="1">
      <alignment horizontal="center" vertical="center" wrapText="1"/>
    </xf>
    <xf numFmtId="165" fontId="7" fillId="2" borderId="11" xfId="1" applyNumberFormat="1" applyFont="1" applyFill="1" applyBorder="1" applyAlignment="1">
      <alignment horizontal="center" vertical="center" wrapText="1"/>
    </xf>
    <xf numFmtId="170" fontId="7" fillId="2" borderId="5" xfId="1" applyNumberFormat="1" applyFont="1" applyFill="1" applyBorder="1" applyAlignment="1">
      <alignment horizontal="center" vertical="center" wrapText="1"/>
    </xf>
    <xf numFmtId="170" fontId="7" fillId="2" borderId="10" xfId="1" applyNumberFormat="1" applyFont="1" applyFill="1" applyBorder="1" applyAlignment="1">
      <alignment horizontal="center" vertical="center" wrapText="1"/>
    </xf>
    <xf numFmtId="170" fontId="7" fillId="2" borderId="11" xfId="1" applyNumberFormat="1" applyFont="1" applyFill="1" applyBorder="1" applyAlignment="1">
      <alignment horizontal="center" vertical="center" wrapText="1"/>
    </xf>
    <xf numFmtId="170" fontId="7" fillId="2" borderId="8" xfId="1" applyNumberFormat="1" applyFont="1" applyFill="1" applyBorder="1" applyAlignment="1">
      <alignment horizontal="center" vertical="center" wrapText="1"/>
    </xf>
    <xf numFmtId="170" fontId="7" fillId="2" borderId="12" xfId="1" applyNumberFormat="1" applyFont="1" applyFill="1" applyBorder="1" applyAlignment="1">
      <alignment horizontal="center" vertical="center" wrapText="1"/>
    </xf>
    <xf numFmtId="170" fontId="7" fillId="2" borderId="9" xfId="1" applyNumberFormat="1" applyFont="1" applyFill="1" applyBorder="1" applyAlignment="1">
      <alignment horizontal="center" vertical="center" wrapText="1"/>
    </xf>
    <xf numFmtId="9" fontId="5" fillId="2" borderId="5" xfId="4" applyFont="1" applyFill="1" applyBorder="1" applyAlignment="1">
      <alignment horizontal="center" vertical="center"/>
    </xf>
    <xf numFmtId="9" fontId="5" fillId="2" borderId="10" xfId="4" applyFont="1" applyFill="1" applyBorder="1" applyAlignment="1">
      <alignment horizontal="center" vertical="center"/>
    </xf>
    <xf numFmtId="9" fontId="5" fillId="2" borderId="11" xfId="4" applyFont="1" applyFill="1" applyBorder="1" applyAlignment="1">
      <alignment horizontal="center" vertical="center"/>
    </xf>
    <xf numFmtId="9" fontId="5" fillId="0" borderId="2" xfId="4" applyNumberFormat="1" applyFont="1" applyFill="1" applyBorder="1" applyAlignment="1" applyProtection="1">
      <alignment horizontal="center" vertical="center" wrapText="1"/>
    </xf>
    <xf numFmtId="9" fontId="5" fillId="2" borderId="5" xfId="5" applyNumberFormat="1" applyFont="1" applyFill="1" applyBorder="1" applyAlignment="1">
      <alignment horizontal="center" vertical="center" wrapText="1"/>
    </xf>
    <xf numFmtId="9" fontId="5" fillId="2" borderId="10" xfId="5" applyNumberFormat="1" applyFont="1" applyFill="1" applyBorder="1" applyAlignment="1">
      <alignment horizontal="center" vertical="center" wrapText="1"/>
    </xf>
    <xf numFmtId="9" fontId="5" fillId="2" borderId="11" xfId="5" applyNumberFormat="1" applyFont="1" applyFill="1" applyBorder="1" applyAlignment="1">
      <alignment horizontal="center" vertical="center" wrapText="1"/>
    </xf>
    <xf numFmtId="0" fontId="5" fillId="0" borderId="2" xfId="0" applyFont="1" applyFill="1" applyBorder="1" applyAlignment="1" applyProtection="1">
      <alignment horizontal="justify" vertical="center" wrapText="1"/>
    </xf>
    <xf numFmtId="9" fontId="5" fillId="0" borderId="2" xfId="4" applyFont="1" applyFill="1" applyBorder="1" applyAlignment="1" applyProtection="1">
      <alignment horizontal="center" vertical="center"/>
    </xf>
    <xf numFmtId="9" fontId="5" fillId="0" borderId="2" xfId="5"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6" fillId="2" borderId="2" xfId="5" applyFont="1" applyFill="1" applyBorder="1" applyAlignment="1">
      <alignment horizontal="center" vertical="center" textRotation="90" wrapText="1"/>
    </xf>
    <xf numFmtId="44" fontId="8" fillId="0" borderId="2" xfId="3" applyFont="1" applyFill="1" applyBorder="1" applyAlignment="1" applyProtection="1">
      <alignment horizontal="center" vertical="center" wrapText="1"/>
    </xf>
    <xf numFmtId="44" fontId="9" fillId="0" borderId="2" xfId="3" applyFont="1" applyFill="1" applyBorder="1" applyAlignment="1" applyProtection="1">
      <alignment horizontal="center" vertical="center" wrapText="1"/>
    </xf>
    <xf numFmtId="0" fontId="6" fillId="0" borderId="2" xfId="5" applyFont="1" applyFill="1" applyBorder="1" applyAlignment="1" applyProtection="1">
      <alignment horizontal="center" vertical="center" wrapText="1"/>
      <protection locked="0"/>
    </xf>
    <xf numFmtId="9" fontId="5" fillId="0" borderId="2" xfId="4" applyFont="1" applyFill="1" applyBorder="1" applyAlignment="1" applyProtection="1">
      <alignment horizontal="center" vertical="center" wrapText="1"/>
      <protection locked="0"/>
    </xf>
    <xf numFmtId="0" fontId="48" fillId="0" borderId="5" xfId="6" applyFont="1" applyFill="1" applyBorder="1" applyAlignment="1" applyProtection="1">
      <alignment horizontal="center" vertical="center" wrapText="1"/>
    </xf>
    <xf numFmtId="0" fontId="48" fillId="0" borderId="10" xfId="6" applyFont="1" applyFill="1" applyBorder="1" applyAlignment="1" applyProtection="1">
      <alignment horizontal="center" vertical="center" wrapText="1"/>
    </xf>
    <xf numFmtId="0" fontId="48" fillId="0" borderId="11" xfId="6" applyFont="1" applyFill="1" applyBorder="1" applyAlignment="1" applyProtection="1">
      <alignment horizontal="center" vertical="center" wrapText="1"/>
    </xf>
    <xf numFmtId="9" fontId="5" fillId="0" borderId="19" xfId="4" applyFont="1" applyFill="1" applyBorder="1" applyAlignment="1" applyProtection="1">
      <alignment horizontal="center" vertical="center" wrapText="1"/>
      <protection locked="0"/>
    </xf>
    <xf numFmtId="0" fontId="5" fillId="0" borderId="8" xfId="5" applyFont="1" applyFill="1" applyBorder="1" applyAlignment="1">
      <alignment horizontal="center" vertical="center" wrapText="1"/>
    </xf>
    <xf numFmtId="0" fontId="5" fillId="0" borderId="12" xfId="5" applyFont="1" applyFill="1" applyBorder="1" applyAlignment="1">
      <alignment horizontal="center" vertical="center" wrapText="1"/>
    </xf>
    <xf numFmtId="0" fontId="5" fillId="0" borderId="9" xfId="5" applyFont="1" applyFill="1" applyBorder="1" applyAlignment="1">
      <alignment horizontal="center" vertical="center" wrapText="1"/>
    </xf>
    <xf numFmtId="0" fontId="6" fillId="0" borderId="5" xfId="0" applyFont="1" applyFill="1" applyBorder="1" applyAlignment="1" applyProtection="1">
      <alignment horizontal="center" vertical="center" textRotation="90" wrapText="1"/>
    </xf>
    <xf numFmtId="0" fontId="6" fillId="0" borderId="10" xfId="0" applyFont="1" applyFill="1" applyBorder="1" applyAlignment="1" applyProtection="1">
      <alignment horizontal="center" vertical="center" textRotation="90" wrapText="1"/>
    </xf>
    <xf numFmtId="0" fontId="6" fillId="0" borderId="11" xfId="0" applyFont="1" applyFill="1" applyBorder="1" applyAlignment="1" applyProtection="1">
      <alignment horizontal="center" vertical="center" textRotation="90" wrapText="1"/>
    </xf>
    <xf numFmtId="0" fontId="8" fillId="3" borderId="5" xfId="5" applyFont="1" applyFill="1" applyBorder="1" applyAlignment="1" applyProtection="1">
      <alignment horizontal="center" vertical="center" wrapText="1"/>
    </xf>
    <xf numFmtId="0" fontId="8" fillId="3" borderId="10" xfId="5" applyFont="1" applyFill="1" applyBorder="1" applyAlignment="1" applyProtection="1">
      <alignment horizontal="center" vertical="center" wrapText="1"/>
    </xf>
    <xf numFmtId="0" fontId="8" fillId="3" borderId="11" xfId="5" applyFont="1" applyFill="1" applyBorder="1" applyAlignment="1" applyProtection="1">
      <alignment horizontal="center" vertical="center" wrapText="1"/>
    </xf>
    <xf numFmtId="0" fontId="8" fillId="3" borderId="7" xfId="5" applyFont="1" applyFill="1" applyBorder="1" applyAlignment="1" applyProtection="1">
      <alignment horizontal="center" vertical="center" wrapText="1"/>
    </xf>
    <xf numFmtId="0" fontId="8" fillId="3" borderId="8" xfId="5" applyFont="1" applyFill="1" applyBorder="1" applyAlignment="1" applyProtection="1">
      <alignment horizontal="center" vertical="center" wrapText="1"/>
    </xf>
    <xf numFmtId="0" fontId="5" fillId="2" borderId="5" xfId="0" applyFont="1" applyFill="1" applyBorder="1" applyAlignment="1" applyProtection="1">
      <alignment horizontal="center" vertical="center" textRotation="90" wrapText="1"/>
    </xf>
    <xf numFmtId="0" fontId="5" fillId="2" borderId="10" xfId="0" applyFont="1" applyFill="1" applyBorder="1" applyAlignment="1" applyProtection="1">
      <alignment horizontal="center" vertical="center" textRotation="90" wrapText="1"/>
    </xf>
    <xf numFmtId="0" fontId="5" fillId="2" borderId="11" xfId="0" applyFont="1" applyFill="1" applyBorder="1" applyAlignment="1" applyProtection="1">
      <alignment horizontal="center" vertical="center" textRotation="90" wrapText="1"/>
    </xf>
    <xf numFmtId="166" fontId="5" fillId="2" borderId="5" xfId="0" applyNumberFormat="1" applyFont="1" applyFill="1" applyBorder="1" applyAlignment="1" applyProtection="1">
      <alignment horizontal="center" vertical="center" wrapText="1"/>
    </xf>
    <xf numFmtId="166" fontId="5" fillId="2" borderId="10" xfId="0" applyNumberFormat="1" applyFont="1" applyFill="1" applyBorder="1" applyAlignment="1" applyProtection="1">
      <alignment horizontal="center" vertical="center" wrapText="1"/>
    </xf>
    <xf numFmtId="166" fontId="5" fillId="2" borderId="11" xfId="0" applyNumberFormat="1" applyFont="1" applyFill="1" applyBorder="1" applyAlignment="1" applyProtection="1">
      <alignment horizontal="center" vertical="center" wrapText="1"/>
    </xf>
    <xf numFmtId="1" fontId="5" fillId="2" borderId="5" xfId="0" applyNumberFormat="1" applyFont="1" applyFill="1" applyBorder="1" applyAlignment="1" applyProtection="1">
      <alignment horizontal="center" vertical="center" textRotation="2" wrapText="1"/>
    </xf>
    <xf numFmtId="1" fontId="5" fillId="2" borderId="10" xfId="0" applyNumberFormat="1" applyFont="1" applyFill="1" applyBorder="1" applyAlignment="1" applyProtection="1">
      <alignment horizontal="center" vertical="center" textRotation="2" wrapText="1"/>
    </xf>
    <xf numFmtId="1" fontId="5" fillId="2" borderId="11" xfId="0" applyNumberFormat="1" applyFont="1" applyFill="1" applyBorder="1" applyAlignment="1" applyProtection="1">
      <alignment horizontal="center" vertical="center" textRotation="2" wrapText="1"/>
    </xf>
    <xf numFmtId="166" fontId="5" fillId="0" borderId="5" xfId="0" applyNumberFormat="1" applyFont="1" applyFill="1" applyBorder="1" applyAlignment="1" applyProtection="1">
      <alignment horizontal="center" vertical="center" wrapText="1"/>
    </xf>
    <xf numFmtId="166" fontId="5" fillId="0" borderId="10" xfId="0" applyNumberFormat="1" applyFont="1" applyFill="1" applyBorder="1" applyAlignment="1" applyProtection="1">
      <alignment horizontal="center" vertical="center" wrapText="1"/>
    </xf>
    <xf numFmtId="166" fontId="5" fillId="0" borderId="11" xfId="0" applyNumberFormat="1" applyFont="1" applyFill="1" applyBorder="1" applyAlignment="1" applyProtection="1">
      <alignment horizontal="center" vertical="center" wrapText="1"/>
    </xf>
    <xf numFmtId="0" fontId="6" fillId="0" borderId="2" xfId="5" applyFont="1" applyFill="1" applyBorder="1" applyAlignment="1" applyProtection="1">
      <alignment horizontal="center" vertical="center" wrapText="1"/>
    </xf>
    <xf numFmtId="9" fontId="5" fillId="0" borderId="2" xfId="0" applyNumberFormat="1" applyFont="1" applyFill="1" applyBorder="1" applyAlignment="1" applyProtection="1">
      <alignment horizontal="center" vertical="center" wrapText="1"/>
    </xf>
    <xf numFmtId="9" fontId="5" fillId="2" borderId="5" xfId="0" applyNumberFormat="1" applyFont="1" applyFill="1" applyBorder="1" applyAlignment="1" applyProtection="1">
      <alignment horizontal="center" vertical="center" textRotation="2" wrapText="1"/>
    </xf>
    <xf numFmtId="9" fontId="5" fillId="2" borderId="10" xfId="0" applyNumberFormat="1" applyFont="1" applyFill="1" applyBorder="1" applyAlignment="1" applyProtection="1">
      <alignment horizontal="center" vertical="center" textRotation="2" wrapText="1"/>
    </xf>
    <xf numFmtId="9" fontId="5" fillId="2" borderId="11" xfId="0" applyNumberFormat="1" applyFont="1" applyFill="1" applyBorder="1" applyAlignment="1" applyProtection="1">
      <alignment horizontal="center" vertical="center" textRotation="2" wrapText="1"/>
    </xf>
    <xf numFmtId="3" fontId="5" fillId="2" borderId="5"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9" fontId="5" fillId="2" borderId="5" xfId="4" applyNumberFormat="1" applyFont="1" applyFill="1" applyBorder="1" applyAlignment="1">
      <alignment horizontal="center" vertical="center" textRotation="2" wrapText="1"/>
    </xf>
    <xf numFmtId="9" fontId="5" fillId="2" borderId="10" xfId="4" applyNumberFormat="1" applyFont="1" applyFill="1" applyBorder="1" applyAlignment="1">
      <alignment horizontal="center" vertical="center" textRotation="2" wrapText="1"/>
    </xf>
    <xf numFmtId="9" fontId="5" fillId="2" borderId="11" xfId="4" applyNumberFormat="1" applyFont="1" applyFill="1" applyBorder="1" applyAlignment="1">
      <alignment horizontal="center" vertical="center" textRotation="2" wrapText="1"/>
    </xf>
    <xf numFmtId="0" fontId="5" fillId="2" borderId="5" xfId="0" applyFont="1" applyFill="1" applyBorder="1" applyAlignment="1">
      <alignment horizontal="center" vertical="center" textRotation="90" wrapText="1"/>
    </xf>
    <xf numFmtId="0" fontId="5" fillId="2" borderId="10"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9" fontId="5" fillId="0" borderId="5" xfId="0" applyNumberFormat="1" applyFont="1" applyFill="1" applyBorder="1" applyAlignment="1">
      <alignment horizontal="center" vertical="center" textRotation="2" wrapText="1"/>
    </xf>
    <xf numFmtId="9" fontId="5" fillId="0" borderId="10" xfId="0" applyNumberFormat="1" applyFont="1" applyFill="1" applyBorder="1" applyAlignment="1">
      <alignment horizontal="center" vertical="center" textRotation="2" wrapText="1"/>
    </xf>
    <xf numFmtId="9" fontId="5" fillId="0" borderId="11" xfId="0" applyNumberFormat="1" applyFont="1" applyFill="1" applyBorder="1" applyAlignment="1">
      <alignment horizontal="center" vertical="center" textRotation="2" wrapText="1"/>
    </xf>
    <xf numFmtId="1" fontId="5" fillId="0" borderId="2" xfId="5" applyNumberFormat="1" applyFont="1" applyFill="1" applyBorder="1" applyAlignment="1">
      <alignment horizontal="center" vertical="center" wrapText="1"/>
    </xf>
    <xf numFmtId="0" fontId="6" fillId="2" borderId="2" xfId="0" applyFont="1" applyFill="1" applyBorder="1" applyAlignment="1" applyProtection="1">
      <alignment horizontal="center" vertical="center" textRotation="90" wrapText="1"/>
    </xf>
    <xf numFmtId="3"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9" fontId="5" fillId="0" borderId="13" xfId="4" applyFont="1" applyBorder="1" applyAlignment="1">
      <alignment horizontal="center" vertical="center" wrapText="1"/>
    </xf>
    <xf numFmtId="9" fontId="5" fillId="0" borderId="7" xfId="4" applyFont="1" applyBorder="1" applyAlignment="1">
      <alignment horizontal="center" vertical="center" wrapText="1"/>
    </xf>
    <xf numFmtId="9" fontId="5" fillId="0" borderId="8" xfId="4" applyFont="1" applyBorder="1" applyAlignment="1">
      <alignment horizontal="center" vertical="center" wrapText="1"/>
    </xf>
    <xf numFmtId="0" fontId="43" fillId="2" borderId="2" xfId="6" applyFont="1" applyFill="1" applyBorder="1" applyAlignment="1" applyProtection="1">
      <alignment horizontal="center" vertical="center" wrapText="1"/>
    </xf>
    <xf numFmtId="9" fontId="5" fillId="2" borderId="2" xfId="4" applyFont="1" applyFill="1" applyBorder="1" applyAlignment="1" applyProtection="1">
      <alignment horizontal="center" vertical="center" wrapText="1"/>
      <protection locked="0"/>
    </xf>
    <xf numFmtId="9" fontId="7" fillId="0" borderId="28" xfId="4" applyFont="1" applyBorder="1" applyAlignment="1">
      <alignment horizontal="center" vertical="center" wrapText="1"/>
    </xf>
    <xf numFmtId="9" fontId="7" fillId="0" borderId="24" xfId="4" applyFont="1" applyBorder="1" applyAlignment="1">
      <alignment horizontal="center" vertical="center" wrapText="1"/>
    </xf>
    <xf numFmtId="9" fontId="7" fillId="0" borderId="26" xfId="4" applyFont="1" applyBorder="1" applyAlignment="1">
      <alignment horizontal="center" vertical="center" wrapText="1"/>
    </xf>
    <xf numFmtId="166" fontId="7" fillId="0" borderId="14" xfId="4" applyNumberFormat="1" applyFont="1" applyBorder="1" applyAlignment="1">
      <alignment horizontal="center" vertical="center" wrapText="1"/>
    </xf>
    <xf numFmtId="166" fontId="7" fillId="0" borderId="15" xfId="4" applyNumberFormat="1" applyFont="1" applyBorder="1" applyAlignment="1">
      <alignment horizontal="center" vertical="center" wrapText="1"/>
    </xf>
    <xf numFmtId="166" fontId="7" fillId="0" borderId="20" xfId="4" applyNumberFormat="1"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165" fontId="11" fillId="0" borderId="2" xfId="1" applyNumberFormat="1" applyFont="1" applyFill="1" applyBorder="1" applyAlignment="1">
      <alignment horizontal="center" vertical="center" wrapText="1"/>
    </xf>
    <xf numFmtId="165" fontId="11" fillId="2" borderId="2" xfId="1" applyNumberFormat="1" applyFont="1" applyFill="1" applyBorder="1" applyAlignment="1">
      <alignment horizontal="center" vertical="center" wrapText="1"/>
    </xf>
    <xf numFmtId="0" fontId="20" fillId="17" borderId="2" xfId="0" applyFont="1" applyFill="1" applyBorder="1" applyAlignment="1" applyProtection="1">
      <alignment horizontal="center" vertical="center" wrapText="1"/>
    </xf>
    <xf numFmtId="9" fontId="5" fillId="2" borderId="5" xfId="4" applyFont="1" applyFill="1" applyBorder="1" applyAlignment="1" applyProtection="1">
      <alignment horizontal="center" vertical="center" textRotation="90" wrapText="1"/>
    </xf>
    <xf numFmtId="9" fontId="5" fillId="2" borderId="10" xfId="4" applyFont="1" applyFill="1" applyBorder="1" applyAlignment="1" applyProtection="1">
      <alignment horizontal="center" vertical="center" textRotation="90" wrapText="1"/>
    </xf>
    <xf numFmtId="9" fontId="5" fillId="2" borderId="11" xfId="4" applyFont="1" applyFill="1" applyBorder="1" applyAlignment="1" applyProtection="1">
      <alignment horizontal="center" vertical="center" textRotation="90" wrapText="1"/>
    </xf>
    <xf numFmtId="166" fontId="7" fillId="0" borderId="28" xfId="4" applyNumberFormat="1" applyFont="1" applyBorder="1" applyAlignment="1">
      <alignment horizontal="center" vertical="center" wrapText="1"/>
    </xf>
    <xf numFmtId="166" fontId="7" fillId="0" borderId="24" xfId="4" applyNumberFormat="1" applyFont="1" applyBorder="1" applyAlignment="1">
      <alignment horizontal="center" vertical="center" wrapText="1"/>
    </xf>
    <xf numFmtId="166" fontId="7" fillId="0" borderId="26" xfId="4" applyNumberFormat="1" applyFont="1" applyBorder="1" applyAlignment="1">
      <alignment horizontal="center" vertical="center" wrapText="1"/>
    </xf>
    <xf numFmtId="165" fontId="7" fillId="0" borderId="2" xfId="1"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wrapText="1"/>
    </xf>
    <xf numFmtId="164" fontId="7" fillId="0" borderId="5"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164" fontId="7" fillId="0" borderId="11" xfId="0" applyNumberFormat="1" applyFont="1" applyFill="1" applyBorder="1" applyAlignment="1" applyProtection="1">
      <alignment horizontal="center" vertical="center" wrapText="1"/>
    </xf>
    <xf numFmtId="9" fontId="7" fillId="0" borderId="2" xfId="4" applyFont="1" applyFill="1" applyBorder="1" applyAlignment="1" applyProtection="1">
      <alignment horizontal="center" vertical="center" wrapText="1"/>
    </xf>
    <xf numFmtId="9" fontId="7" fillId="2" borderId="2" xfId="4" applyFont="1" applyFill="1" applyBorder="1" applyAlignment="1" applyProtection="1">
      <alignment horizontal="center" vertical="center" wrapText="1"/>
    </xf>
    <xf numFmtId="9" fontId="7" fillId="2" borderId="2" xfId="4" applyFont="1" applyFill="1" applyBorder="1" applyAlignment="1" applyProtection="1">
      <alignment horizontal="center" vertical="center" textRotation="90" wrapText="1"/>
    </xf>
    <xf numFmtId="164" fontId="6" fillId="0" borderId="5" xfId="0" applyNumberFormat="1" applyFont="1" applyFill="1" applyBorder="1" applyAlignment="1" applyProtection="1">
      <alignment horizontal="center" vertical="center" wrapText="1"/>
    </xf>
    <xf numFmtId="164" fontId="6" fillId="0" borderId="10" xfId="0" applyNumberFormat="1" applyFont="1" applyFill="1" applyBorder="1" applyAlignment="1" applyProtection="1">
      <alignment horizontal="center" vertical="center" wrapText="1"/>
    </xf>
    <xf numFmtId="164" fontId="6" fillId="0" borderId="11" xfId="0" applyNumberFormat="1"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textRotation="90" wrapText="1"/>
    </xf>
    <xf numFmtId="9" fontId="19" fillId="2" borderId="2" xfId="4"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20" fillId="14" borderId="2" xfId="0" applyFont="1" applyFill="1" applyBorder="1" applyAlignment="1" applyProtection="1">
      <alignment horizontal="center" vertical="center" wrapText="1"/>
    </xf>
    <xf numFmtId="0" fontId="21" fillId="0" borderId="0" xfId="6" applyFont="1" applyFill="1" applyBorder="1" applyAlignment="1" applyProtection="1">
      <alignment horizontal="left" vertical="center" wrapText="1"/>
    </xf>
    <xf numFmtId="0" fontId="16" fillId="2" borderId="0" xfId="5" applyFont="1" applyFill="1" applyBorder="1" applyAlignment="1" applyProtection="1">
      <alignment horizontal="center" vertical="center" wrapText="1"/>
    </xf>
    <xf numFmtId="0" fontId="21" fillId="2" borderId="0" xfId="5" applyFont="1" applyFill="1" applyBorder="1" applyAlignment="1" applyProtection="1">
      <alignment horizontal="center" vertical="center" wrapText="1"/>
    </xf>
    <xf numFmtId="0" fontId="21" fillId="12" borderId="5" xfId="6" applyFont="1" applyFill="1" applyBorder="1" applyAlignment="1" applyProtection="1">
      <alignment horizontal="center" vertical="center" wrapText="1"/>
    </xf>
    <xf numFmtId="0" fontId="25" fillId="2" borderId="2" xfId="6" applyFont="1" applyFill="1" applyBorder="1" applyAlignment="1" applyProtection="1">
      <alignment horizontal="left" vertical="center" wrapText="1"/>
    </xf>
    <xf numFmtId="0" fontId="32" fillId="3" borderId="0" xfId="6" applyFont="1" applyFill="1" applyAlignment="1" applyProtection="1">
      <alignment horizontal="center" vertical="center"/>
    </xf>
    <xf numFmtId="0" fontId="21" fillId="10" borderId="2" xfId="6" applyFont="1" applyFill="1" applyBorder="1" applyAlignment="1" applyProtection="1">
      <alignment horizontal="center" vertical="center" wrapText="1"/>
    </xf>
    <xf numFmtId="0" fontId="27" fillId="2" borderId="0" xfId="5" applyFont="1" applyFill="1" applyBorder="1" applyAlignment="1" applyProtection="1">
      <alignment horizontal="left" vertical="center" wrapText="1"/>
    </xf>
    <xf numFmtId="0" fontId="10" fillId="2" borderId="0" xfId="5" applyFont="1" applyFill="1" applyAlignment="1" applyProtection="1">
      <alignment horizontal="center" vertical="center" wrapText="1"/>
    </xf>
    <xf numFmtId="0" fontId="12" fillId="2" borderId="0" xfId="5" applyFont="1" applyFill="1" applyAlignment="1" applyProtection="1">
      <alignment horizontal="center" vertical="center"/>
    </xf>
    <xf numFmtId="1" fontId="17" fillId="2" borderId="0" xfId="5" applyNumberFormat="1" applyFont="1" applyFill="1" applyAlignment="1" applyProtection="1">
      <alignment horizontal="center" vertical="center" textRotation="90" wrapText="1"/>
    </xf>
    <xf numFmtId="1" fontId="18" fillId="2" borderId="0" xfId="5" applyNumberFormat="1" applyFont="1" applyFill="1" applyAlignment="1" applyProtection="1">
      <alignment horizontal="center" vertical="center" textRotation="90" wrapText="1"/>
    </xf>
    <xf numFmtId="0" fontId="20" fillId="3" borderId="2"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1" fillId="2" borderId="3" xfId="5" applyFont="1" applyFill="1" applyBorder="1" applyAlignment="1" applyProtection="1">
      <alignment horizontal="center" vertical="center" wrapText="1"/>
    </xf>
    <xf numFmtId="0" fontId="21" fillId="0" borderId="0" xfId="5" applyFont="1" applyFill="1" applyBorder="1" applyAlignment="1" applyProtection="1">
      <alignment horizontal="center" vertical="center" wrapText="1"/>
    </xf>
    <xf numFmtId="0" fontId="21" fillId="9" borderId="2" xfId="6" applyFont="1" applyFill="1" applyBorder="1" applyAlignment="1" applyProtection="1">
      <alignment horizontal="center" vertical="center" wrapText="1"/>
    </xf>
    <xf numFmtId="0" fontId="21" fillId="5" borderId="2" xfId="6" applyFont="1" applyFill="1" applyBorder="1" applyAlignment="1" applyProtection="1">
      <alignment horizontal="center" vertical="center" wrapText="1"/>
    </xf>
    <xf numFmtId="0" fontId="5" fillId="22" borderId="2" xfId="0" applyFont="1" applyFill="1" applyBorder="1" applyAlignment="1">
      <alignment horizontal="center" vertical="center" wrapText="1"/>
    </xf>
    <xf numFmtId="174" fontId="8" fillId="0" borderId="2" xfId="3" applyNumberFormat="1" applyFont="1" applyFill="1" applyBorder="1" applyAlignment="1" applyProtection="1">
      <alignment horizontal="center" vertical="center" wrapText="1"/>
    </xf>
    <xf numFmtId="174" fontId="8" fillId="0" borderId="2" xfId="3" applyNumberFormat="1" applyFont="1" applyFill="1" applyBorder="1" applyAlignment="1">
      <alignment horizontal="center" vertical="center" wrapText="1"/>
    </xf>
    <xf numFmtId="44" fontId="8" fillId="0" borderId="2" xfId="3" applyFont="1" applyFill="1" applyBorder="1" applyAlignment="1">
      <alignment horizontal="center" vertical="center" wrapText="1"/>
    </xf>
  </cellXfs>
  <cellStyles count="10">
    <cellStyle name="Hipervínculo" xfId="6" builtinId="8"/>
    <cellStyle name="Millares" xfId="1" builtinId="3"/>
    <cellStyle name="Millares [0]" xfId="2" builtinId="6"/>
    <cellStyle name="Millares 2" xfId="9"/>
    <cellStyle name="Millares 2 2" xfId="7"/>
    <cellStyle name="Moneda" xfId="3" builtinId="4"/>
    <cellStyle name="Moneda 2" xfId="8"/>
    <cellStyle name="Normal" xfId="0" builtinId="0"/>
    <cellStyle name="Normal 2" xfId="5"/>
    <cellStyle name="Porcentaje" xfId="4" builtinId="5"/>
  </cellStyles>
  <dxfs count="2973">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157164</xdr:rowOff>
    </xdr:from>
    <xdr:to>
      <xdr:col>6</xdr:col>
      <xdr:colOff>1123410</xdr:colOff>
      <xdr:row>2</xdr:row>
      <xdr:rowOff>425824</xdr:rowOff>
    </xdr:to>
    <xdr:pic>
      <xdr:nvPicPr>
        <xdr:cNvPr id="2" name="Picture 2" descr="C:\Users\user\Pictures\logo anm.pn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57164"/>
          <a:ext cx="3176046" cy="102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0</xdr:row>
      <xdr:rowOff>157164</xdr:rowOff>
    </xdr:from>
    <xdr:to>
      <xdr:col>6</xdr:col>
      <xdr:colOff>1123410</xdr:colOff>
      <xdr:row>2</xdr:row>
      <xdr:rowOff>425824</xdr:rowOff>
    </xdr:to>
    <xdr:pic>
      <xdr:nvPicPr>
        <xdr:cNvPr id="3" name="Picture 2" descr="C:\Users\user\Pictures\logo anm.png">
          <a:extLst>
            <a:ext uri="{FF2B5EF4-FFF2-40B4-BE49-F238E27FC236}">
              <a16:creationId xmlns:a16="http://schemas.microsoft.com/office/drawing/2014/main" xmlns=""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57164"/>
          <a:ext cx="3176046" cy="102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nm.gov.co/?q=content/plan-anticorrupcion-y-de-atencion-al-ciudadano" TargetMode="External"/><Relationship Id="rId13" Type="http://schemas.openxmlformats.org/officeDocument/2006/relationships/hyperlink" Target="https://www.anm.gov.co/sites/default/files/pic_2018.pdf" TargetMode="External"/><Relationship Id="rId18" Type="http://schemas.openxmlformats.org/officeDocument/2006/relationships/hyperlink" Target="https://www.anm.gov.co/sites/default/files/pic_2018.pdf" TargetMode="External"/><Relationship Id="rId3" Type="http://schemas.openxmlformats.org/officeDocument/2006/relationships/hyperlink" Target="https://www.anm.gov.co/?q=content/plan-anticorrupcion-y-de-atencion-al-ciudadano" TargetMode="External"/><Relationship Id="rId21" Type="http://schemas.openxmlformats.org/officeDocument/2006/relationships/vmlDrawing" Target="../drawings/vmlDrawing1.vml"/><Relationship Id="rId7" Type="http://schemas.openxmlformats.org/officeDocument/2006/relationships/hyperlink" Target="https://www.anm.gov.co/?q=content/plan-anual-de-adquisiciones" TargetMode="External"/><Relationship Id="rId12" Type="http://schemas.openxmlformats.org/officeDocument/2006/relationships/hyperlink" Target="https://www.anm.gov.co/sites/default/files/resolucion_147_del_28_de_marzo_de_2018_por_la_cual_se_adopta_el_program.pdf" TargetMode="External"/><Relationship Id="rId17" Type="http://schemas.openxmlformats.org/officeDocument/2006/relationships/hyperlink" Target="https://www.anm.gov.co/sites/default/files/plan_de_prevision_de_rh.pdf" TargetMode="External"/><Relationship Id="rId2" Type="http://schemas.openxmlformats.org/officeDocument/2006/relationships/hyperlink" Target="https://www.anm.gov.co/?q=content/plan-anticorrupcion-y-de-atencion-al-ciudadano" TargetMode="External"/><Relationship Id="rId16" Type="http://schemas.openxmlformats.org/officeDocument/2006/relationships/hyperlink" Target="https://www.anm.gov.co/sites/default/files/DocumentosAnm/resolucion043defebrero6de2017.pdf" TargetMode="External"/><Relationship Id="rId20" Type="http://schemas.openxmlformats.org/officeDocument/2006/relationships/drawing" Target="../drawings/drawing1.xml"/><Relationship Id="rId1" Type="http://schemas.openxmlformats.org/officeDocument/2006/relationships/hyperlink" Target="https://www.anm.gov.co/?q=content/plan-anual-de-adquisiciones" TargetMode="External"/><Relationship Id="rId6" Type="http://schemas.openxmlformats.org/officeDocument/2006/relationships/hyperlink" Target="https://www.anm.gov.co/?q=content/plan-anual-de-adquisiciones" TargetMode="External"/><Relationship Id="rId11" Type="http://schemas.openxmlformats.org/officeDocument/2006/relationships/hyperlink" Target="https://www.anm.gov.co/sites/default/files/pinar_anm.pdf" TargetMode="External"/><Relationship Id="rId5" Type="http://schemas.openxmlformats.org/officeDocument/2006/relationships/hyperlink" Target="https://www.anm.gov.co/?q=content/plan-anual-de-adquisiciones" TargetMode="External"/><Relationship Id="rId15" Type="http://schemas.openxmlformats.org/officeDocument/2006/relationships/hyperlink" Target="https://www.anm.gov.co/sites/default/files/plan_anual_de_vacantes.pdf" TargetMode="External"/><Relationship Id="rId10" Type="http://schemas.openxmlformats.org/officeDocument/2006/relationships/hyperlink" Target="https://www.anm.gov.co/?q=content/planes-anm" TargetMode="External"/><Relationship Id="rId19" Type="http://schemas.openxmlformats.org/officeDocument/2006/relationships/printerSettings" Target="../printerSettings/printerSettings1.bin"/><Relationship Id="rId4" Type="http://schemas.openxmlformats.org/officeDocument/2006/relationships/hyperlink" Target="https://www.anm.gov.co/?q=content/plan-anticorrupcion-y-de-atencion-al-ciudadano" TargetMode="External"/><Relationship Id="rId9" Type="http://schemas.openxmlformats.org/officeDocument/2006/relationships/hyperlink" Target="https://www.anm.gov.co/?q=content/plan-anual-de-adquisiciones" TargetMode="External"/><Relationship Id="rId14" Type="http://schemas.openxmlformats.org/officeDocument/2006/relationships/hyperlink" Target="https://www.anm.gov.co/sites/default/files/resolucion_148_de_2018_plan_de_trabajo_sst.pdf"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FY775"/>
  <sheetViews>
    <sheetView showGridLines="0" tabSelected="1" topLeftCell="B1" zoomScale="70" zoomScaleNormal="70" workbookViewId="0">
      <selection activeCell="I56" sqref="I56:I58"/>
    </sheetView>
  </sheetViews>
  <sheetFormatPr baseColWidth="10" defaultColWidth="2.7109375" defaultRowHeight="15" customHeight="1" x14ac:dyDescent="0.25"/>
  <cols>
    <col min="1" max="1" width="5.7109375" style="519" hidden="1" customWidth="1"/>
    <col min="2" max="2" width="5.7109375" style="520" customWidth="1"/>
    <col min="3" max="3" width="7.7109375" style="521" hidden="1" customWidth="1"/>
    <col min="4" max="4" width="10.7109375" style="522" customWidth="1"/>
    <col min="5" max="5" width="20.7109375" style="522" customWidth="1"/>
    <col min="6" max="6" width="14.7109375" style="50" hidden="1" customWidth="1"/>
    <col min="7" max="7" width="25.7109375" style="50" customWidth="1"/>
    <col min="8" max="8" width="14.7109375" style="50" hidden="1" customWidth="1"/>
    <col min="9" max="9" width="40.7109375" style="50" customWidth="1"/>
    <col min="10" max="10" width="14.7109375" style="523" hidden="1" customWidth="1"/>
    <col min="11" max="11" width="27.7109375" style="50" customWidth="1"/>
    <col min="12" max="12" width="67.7109375" style="50" customWidth="1"/>
    <col min="13" max="14" width="27.7109375" style="50" customWidth="1"/>
    <col min="15" max="15" width="30.7109375" style="50" customWidth="1"/>
    <col min="16" max="20" width="10.7109375" style="50" customWidth="1"/>
    <col min="21" max="21" width="40.7109375" style="50" customWidth="1"/>
    <col min="22" max="22" width="18.7109375" style="159" customWidth="1"/>
    <col min="23" max="25" width="18.7109375" style="50" customWidth="1"/>
    <col min="26" max="29" width="17.7109375" style="50" customWidth="1"/>
    <col min="30" max="30" width="18.7109375" style="95" customWidth="1"/>
    <col min="31" max="33" width="18.7109375" style="50" customWidth="1"/>
    <col min="34" max="35" width="20.7109375" style="50" customWidth="1"/>
    <col min="36" max="45" width="11.7109375" style="50" customWidth="1"/>
    <col min="46" max="46" width="14.7109375" style="50" hidden="1" customWidth="1"/>
    <col min="47" max="54" width="10.7109375" style="50" hidden="1" customWidth="1"/>
    <col min="55" max="56" width="11.7109375" style="50" hidden="1" customWidth="1"/>
    <col min="57" max="57" width="2.7109375" style="50" customWidth="1"/>
    <col min="58" max="58" width="2.7109375" style="159" customWidth="1"/>
    <col min="59" max="16384" width="2.7109375" style="50"/>
  </cols>
  <sheetData>
    <row r="1" spans="1:58" s="11" customFormat="1" ht="12.75" x14ac:dyDescent="0.2">
      <c r="A1" s="1"/>
      <c r="B1" s="2"/>
      <c r="C1" s="3"/>
      <c r="D1" s="4"/>
      <c r="E1" s="4"/>
      <c r="F1" s="5"/>
      <c r="G1" s="5"/>
      <c r="H1" s="6"/>
      <c r="I1" s="5"/>
      <c r="J1" s="5"/>
      <c r="K1" s="5"/>
      <c r="L1" s="5"/>
      <c r="M1" s="5"/>
      <c r="N1" s="5"/>
      <c r="O1" s="5"/>
      <c r="P1" s="5"/>
      <c r="Q1" s="5"/>
      <c r="R1" s="5"/>
      <c r="S1" s="5"/>
      <c r="T1" s="5"/>
      <c r="U1" s="5"/>
      <c r="V1" s="5"/>
      <c r="W1" s="5"/>
      <c r="X1" s="5"/>
      <c r="Y1" s="5"/>
      <c r="Z1" s="5"/>
      <c r="AA1" s="5"/>
      <c r="AB1" s="5"/>
      <c r="AC1" s="5"/>
      <c r="AD1" s="7"/>
      <c r="AE1" s="8"/>
      <c r="AF1" s="8"/>
      <c r="AG1" s="8"/>
      <c r="AH1" s="8"/>
      <c r="AI1" s="8"/>
      <c r="AJ1" s="8"/>
      <c r="AK1" s="8"/>
      <c r="AL1" s="8"/>
      <c r="AM1" s="8"/>
      <c r="AN1" s="8"/>
      <c r="AO1" s="8"/>
      <c r="AP1" s="8"/>
      <c r="AQ1" s="8"/>
      <c r="AR1" s="8"/>
      <c r="AS1" s="8"/>
      <c r="AT1" s="9"/>
      <c r="AU1" s="9"/>
      <c r="AV1" s="9"/>
      <c r="AW1" s="9"/>
      <c r="AX1" s="9"/>
      <c r="AY1" s="9"/>
      <c r="AZ1" s="9"/>
      <c r="BA1" s="9"/>
      <c r="BB1" s="9"/>
      <c r="BC1" s="9"/>
      <c r="BD1" s="9"/>
      <c r="BE1" s="9"/>
      <c r="BF1" s="10"/>
    </row>
    <row r="2" spans="1:58" s="11" customFormat="1" ht="46.5" customHeight="1" x14ac:dyDescent="0.2">
      <c r="A2" s="1171" t="s">
        <v>0</v>
      </c>
      <c r="B2" s="1171"/>
      <c r="C2" s="1171"/>
      <c r="D2" s="1171"/>
      <c r="E2" s="1171"/>
      <c r="F2" s="1171"/>
      <c r="G2" s="1171"/>
      <c r="H2" s="1171"/>
      <c r="I2" s="1171"/>
      <c r="J2" s="1171"/>
      <c r="K2" s="1171"/>
      <c r="L2" s="1171"/>
      <c r="M2" s="1171"/>
      <c r="N2" s="1171"/>
      <c r="O2" s="1171"/>
      <c r="P2" s="1171"/>
      <c r="Q2" s="1171"/>
      <c r="R2" s="1171"/>
      <c r="S2" s="1171"/>
      <c r="T2" s="1171"/>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c r="AT2" s="1171"/>
      <c r="AU2" s="1171"/>
      <c r="AV2" s="1171"/>
      <c r="AW2" s="1171"/>
      <c r="AX2" s="1171"/>
      <c r="AY2" s="1171"/>
      <c r="AZ2" s="1171"/>
      <c r="BA2" s="1171"/>
      <c r="BB2" s="1171"/>
      <c r="BC2" s="1171"/>
      <c r="BD2" s="1171"/>
      <c r="BE2" s="1171"/>
      <c r="BF2" s="10"/>
    </row>
    <row r="3" spans="1:58" s="11" customFormat="1" ht="45" customHeight="1" x14ac:dyDescent="0.2">
      <c r="A3" s="1"/>
      <c r="B3" s="12"/>
      <c r="C3" s="1172" t="s">
        <v>1</v>
      </c>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0"/>
      <c r="BF3" s="10"/>
    </row>
    <row r="4" spans="1:58" s="11" customFormat="1" ht="24" thickBot="1" x14ac:dyDescent="0.25">
      <c r="A4" s="1"/>
      <c r="B4" s="2"/>
      <c r="C4" s="3"/>
      <c r="D4" s="13"/>
      <c r="E4" s="13"/>
      <c r="F4" s="13"/>
      <c r="G4" s="14"/>
      <c r="H4" s="15"/>
      <c r="I4" s="15"/>
      <c r="J4" s="15"/>
      <c r="K4" s="15"/>
      <c r="L4" s="15"/>
      <c r="M4" s="15"/>
      <c r="N4" s="15"/>
      <c r="O4" s="15"/>
      <c r="P4" s="15"/>
      <c r="Q4" s="15"/>
      <c r="R4" s="15"/>
      <c r="S4" s="15"/>
      <c r="T4" s="15"/>
      <c r="U4" s="15"/>
      <c r="V4" s="15"/>
      <c r="W4" s="15"/>
      <c r="X4" s="15"/>
      <c r="Y4" s="15"/>
      <c r="Z4" s="15"/>
      <c r="AA4" s="15"/>
      <c r="AB4" s="15"/>
      <c r="AC4" s="15"/>
      <c r="AD4" s="16"/>
      <c r="AE4" s="17"/>
      <c r="AF4" s="17"/>
      <c r="AG4" s="17"/>
      <c r="AH4" s="17"/>
      <c r="AI4" s="17"/>
      <c r="AJ4" s="17"/>
      <c r="AK4" s="17"/>
      <c r="AL4" s="17"/>
      <c r="AM4" s="17"/>
      <c r="AN4" s="17"/>
      <c r="AO4" s="17"/>
      <c r="AP4" s="17"/>
      <c r="AQ4" s="17"/>
      <c r="AR4" s="17"/>
      <c r="AS4" s="17"/>
      <c r="AT4" s="18"/>
      <c r="AU4" s="18"/>
      <c r="AV4" s="18"/>
      <c r="AW4" s="18"/>
      <c r="AX4" s="18"/>
      <c r="AY4" s="18"/>
      <c r="AZ4" s="18"/>
      <c r="BA4" s="18"/>
      <c r="BB4" s="18"/>
      <c r="BC4" s="18"/>
      <c r="BD4" s="18"/>
      <c r="BE4" s="18"/>
      <c r="BF4" s="10"/>
    </row>
    <row r="5" spans="1:58" s="11" customFormat="1" ht="23.25" x14ac:dyDescent="0.2">
      <c r="A5" s="19"/>
      <c r="B5" s="20"/>
      <c r="C5" s="3"/>
      <c r="D5" s="4"/>
      <c r="E5" s="21"/>
      <c r="F5" s="22"/>
      <c r="G5" s="22"/>
      <c r="H5" s="23"/>
      <c r="I5" s="24"/>
      <c r="J5" s="24"/>
      <c r="K5" s="24"/>
      <c r="L5" s="24"/>
      <c r="M5" s="23"/>
      <c r="N5" s="23"/>
      <c r="O5" s="23"/>
      <c r="P5" s="23"/>
      <c r="Q5" s="23"/>
      <c r="R5" s="23"/>
      <c r="S5" s="23"/>
      <c r="T5" s="23"/>
      <c r="U5" s="23"/>
      <c r="V5" s="23"/>
      <c r="W5" s="23"/>
      <c r="X5" s="23"/>
      <c r="Y5" s="23"/>
      <c r="Z5" s="23"/>
      <c r="AA5" s="23"/>
      <c r="AB5" s="23"/>
      <c r="AC5" s="23"/>
      <c r="AD5" s="25"/>
      <c r="AE5" s="26"/>
      <c r="AF5" s="26"/>
      <c r="AG5" s="26"/>
      <c r="AH5" s="26"/>
      <c r="AI5" s="26"/>
      <c r="AJ5" s="26"/>
      <c r="AK5" s="26"/>
      <c r="AL5" s="26"/>
      <c r="AM5" s="26"/>
      <c r="AN5" s="26"/>
      <c r="AO5" s="26"/>
      <c r="AP5" s="26"/>
      <c r="AQ5" s="26"/>
      <c r="AR5" s="26"/>
      <c r="AS5" s="26"/>
      <c r="AT5" s="27"/>
      <c r="AU5" s="27"/>
      <c r="AV5" s="27"/>
      <c r="AW5" s="27"/>
      <c r="AX5" s="27"/>
      <c r="AY5" s="27"/>
      <c r="AZ5" s="27"/>
      <c r="BA5" s="27"/>
      <c r="BB5" s="27"/>
      <c r="BC5" s="27"/>
      <c r="BD5" s="27"/>
      <c r="BE5" s="27"/>
      <c r="BF5" s="10"/>
    </row>
    <row r="6" spans="1:58" s="38" customFormat="1" ht="24.95" hidden="1" customHeight="1" x14ac:dyDescent="0.2">
      <c r="A6" s="1173" t="s">
        <v>2</v>
      </c>
      <c r="B6" s="1174" t="s">
        <v>3</v>
      </c>
      <c r="C6" s="28"/>
      <c r="D6" s="1175" t="s">
        <v>4</v>
      </c>
      <c r="E6" s="1175"/>
      <c r="F6" s="1175"/>
      <c r="G6" s="1175"/>
      <c r="H6" s="1175"/>
      <c r="I6" s="1176" t="s">
        <v>5</v>
      </c>
      <c r="J6" s="1176"/>
      <c r="K6" s="1177" t="s">
        <v>6</v>
      </c>
      <c r="L6" s="1165" t="s">
        <v>7</v>
      </c>
      <c r="M6" s="1165" t="s">
        <v>8</v>
      </c>
      <c r="N6" s="1178" t="s">
        <v>9</v>
      </c>
      <c r="O6" s="29"/>
      <c r="P6" s="1164"/>
      <c r="Q6" s="1165"/>
      <c r="R6" s="30"/>
      <c r="S6" s="1165"/>
      <c r="T6" s="1164"/>
      <c r="U6" s="30"/>
      <c r="V6" s="31" t="s">
        <v>7</v>
      </c>
      <c r="W6" s="31" t="s">
        <v>8</v>
      </c>
      <c r="X6" s="32" t="s">
        <v>9</v>
      </c>
      <c r="Y6" s="33"/>
      <c r="Z6" s="34"/>
      <c r="AA6" s="34"/>
      <c r="AB6" s="34"/>
      <c r="AC6" s="34"/>
      <c r="AD6" s="35"/>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10"/>
    </row>
    <row r="7" spans="1:58" ht="21.95" hidden="1" customHeight="1" x14ac:dyDescent="0.2">
      <c r="A7" s="1173"/>
      <c r="B7" s="1174"/>
      <c r="C7" s="39"/>
      <c r="D7" s="1180" t="s">
        <v>10</v>
      </c>
      <c r="E7" s="1180"/>
      <c r="F7" s="1180"/>
      <c r="G7" s="1180"/>
      <c r="H7" s="1180"/>
      <c r="I7" s="40" t="s">
        <v>11</v>
      </c>
      <c r="J7" s="41" t="s">
        <v>12</v>
      </c>
      <c r="K7" s="1177"/>
      <c r="L7" s="1165"/>
      <c r="M7" s="1165"/>
      <c r="N7" s="1178"/>
      <c r="O7" s="29"/>
      <c r="P7" s="1164"/>
      <c r="Q7" s="1165"/>
      <c r="R7" s="42"/>
      <c r="S7" s="1165"/>
      <c r="T7" s="1164"/>
      <c r="U7" s="42"/>
      <c r="V7" s="43"/>
      <c r="W7" s="43"/>
      <c r="X7" s="44"/>
      <c r="Y7" s="45"/>
      <c r="Z7" s="46"/>
      <c r="AA7" s="46"/>
      <c r="AB7" s="46"/>
      <c r="AC7" s="46"/>
      <c r="AD7" s="47"/>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10"/>
    </row>
    <row r="8" spans="1:58" ht="20.100000000000001" hidden="1" customHeight="1" x14ac:dyDescent="0.2">
      <c r="A8" s="51">
        <f>+X8-B8</f>
        <v>3</v>
      </c>
      <c r="B8" s="52"/>
      <c r="C8" s="39" t="s">
        <v>13</v>
      </c>
      <c r="D8" s="1167" t="s">
        <v>14</v>
      </c>
      <c r="E8" s="1167"/>
      <c r="F8" s="1167"/>
      <c r="G8" s="1167"/>
      <c r="H8" s="1167"/>
      <c r="I8" s="53">
        <v>0.7</v>
      </c>
      <c r="J8" s="54">
        <v>0.89999899999999999</v>
      </c>
      <c r="K8" s="55">
        <v>4</v>
      </c>
      <c r="L8" s="55">
        <f>+C59</f>
        <v>4</v>
      </c>
      <c r="M8" s="55">
        <v>4</v>
      </c>
      <c r="N8" s="55">
        <f>+C59</f>
        <v>4</v>
      </c>
      <c r="O8" s="524"/>
      <c r="P8" s="1164"/>
      <c r="Q8" s="1165"/>
      <c r="R8" s="42"/>
      <c r="S8" s="1165"/>
      <c r="T8" s="1164"/>
      <c r="U8" s="42"/>
      <c r="V8" s="56">
        <f>+V63</f>
        <v>2</v>
      </c>
      <c r="W8" s="56">
        <f>+W63</f>
        <v>3</v>
      </c>
      <c r="X8" s="56">
        <f>+X63</f>
        <v>3</v>
      </c>
      <c r="Y8" s="45"/>
      <c r="Z8" s="46"/>
      <c r="AA8" s="46"/>
      <c r="AB8" s="46"/>
      <c r="AC8" s="46"/>
      <c r="AD8" s="47"/>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10"/>
    </row>
    <row r="9" spans="1:58" ht="20.100000000000001" hidden="1" customHeight="1" x14ac:dyDescent="0.2">
      <c r="A9" s="51">
        <f t="shared" ref="A9:A27" si="0">+X9-B9</f>
        <v>3</v>
      </c>
      <c r="B9" s="52"/>
      <c r="C9" s="39" t="s">
        <v>15</v>
      </c>
      <c r="D9" s="1167" t="s">
        <v>16</v>
      </c>
      <c r="E9" s="1167"/>
      <c r="F9" s="1167"/>
      <c r="G9" s="1167"/>
      <c r="H9" s="1167"/>
      <c r="I9" s="57"/>
      <c r="J9" s="54">
        <v>1</v>
      </c>
      <c r="K9" s="55">
        <v>2</v>
      </c>
      <c r="L9" s="55">
        <f>+C84</f>
        <v>4</v>
      </c>
      <c r="M9" s="55">
        <v>4</v>
      </c>
      <c r="N9" s="55">
        <f>+C84</f>
        <v>4</v>
      </c>
      <c r="O9" s="524"/>
      <c r="P9" s="1164"/>
      <c r="Q9" s="1165"/>
      <c r="R9" s="42"/>
      <c r="S9" s="1165"/>
      <c r="T9" s="1164"/>
      <c r="U9" s="42"/>
      <c r="V9" s="56">
        <f>+V88</f>
        <v>3</v>
      </c>
      <c r="W9" s="56">
        <f>+W88</f>
        <v>3</v>
      </c>
      <c r="X9" s="56">
        <f>+X88</f>
        <v>3</v>
      </c>
      <c r="Y9" s="45"/>
      <c r="Z9" s="46"/>
      <c r="AA9" s="46"/>
      <c r="AB9" s="46"/>
      <c r="AC9" s="46"/>
      <c r="AD9" s="47"/>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10"/>
    </row>
    <row r="10" spans="1:58" ht="21.95" hidden="1" customHeight="1" x14ac:dyDescent="0.2">
      <c r="A10" s="51">
        <f t="shared" si="0"/>
        <v>0</v>
      </c>
      <c r="B10" s="52"/>
      <c r="C10" s="39"/>
      <c r="D10" s="1179" t="s">
        <v>17</v>
      </c>
      <c r="E10" s="1179"/>
      <c r="F10" s="1179"/>
      <c r="G10" s="1179"/>
      <c r="H10" s="1179"/>
      <c r="I10" s="58"/>
      <c r="J10" s="58"/>
      <c r="K10" s="59"/>
      <c r="L10" s="59"/>
      <c r="M10" s="59"/>
      <c r="N10" s="59"/>
      <c r="O10" s="524"/>
      <c r="P10" s="1164"/>
      <c r="Q10" s="1165"/>
      <c r="R10" s="42"/>
      <c r="S10" s="1165"/>
      <c r="T10" s="1164"/>
      <c r="U10" s="42"/>
      <c r="V10" s="44"/>
      <c r="W10" s="44"/>
      <c r="X10" s="44"/>
      <c r="Y10" s="45"/>
      <c r="Z10" s="46"/>
      <c r="AA10" s="46"/>
      <c r="AB10" s="46"/>
      <c r="AC10" s="46"/>
      <c r="AD10" s="47"/>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10"/>
    </row>
    <row r="11" spans="1:58" ht="20.100000000000001" hidden="1" customHeight="1" x14ac:dyDescent="0.2">
      <c r="A11" s="51">
        <f t="shared" si="0"/>
        <v>3</v>
      </c>
      <c r="B11" s="52"/>
      <c r="C11" s="39" t="s">
        <v>18</v>
      </c>
      <c r="D11" s="1167" t="s">
        <v>19</v>
      </c>
      <c r="E11" s="1167"/>
      <c r="F11" s="1167"/>
      <c r="G11" s="1167"/>
      <c r="H11" s="1167"/>
      <c r="I11" s="57"/>
      <c r="J11" s="57"/>
      <c r="K11" s="55">
        <v>8</v>
      </c>
      <c r="L11" s="55">
        <f>+C123</f>
        <v>8</v>
      </c>
      <c r="M11" s="55">
        <v>8</v>
      </c>
      <c r="N11" s="55">
        <f>+C123</f>
        <v>8</v>
      </c>
      <c r="O11" s="524"/>
      <c r="P11" s="1164"/>
      <c r="Q11" s="1165"/>
      <c r="R11" s="42"/>
      <c r="S11" s="1165"/>
      <c r="T11" s="1164"/>
      <c r="U11" s="42"/>
      <c r="V11" s="56">
        <f>+V127</f>
        <v>3</v>
      </c>
      <c r="W11" s="56">
        <f>+W127</f>
        <v>7</v>
      </c>
      <c r="X11" s="56">
        <f>+X127</f>
        <v>3</v>
      </c>
      <c r="Y11" s="45"/>
      <c r="Z11" s="46"/>
      <c r="AA11" s="46"/>
      <c r="AB11" s="46"/>
      <c r="AC11" s="46"/>
      <c r="AD11" s="47"/>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10"/>
    </row>
    <row r="12" spans="1:58" ht="20.100000000000001" hidden="1" customHeight="1" x14ac:dyDescent="0.2">
      <c r="A12" s="51">
        <f t="shared" si="0"/>
        <v>0</v>
      </c>
      <c r="B12" s="52"/>
      <c r="C12" s="39" t="s">
        <v>18</v>
      </c>
      <c r="D12" s="1167" t="s">
        <v>20</v>
      </c>
      <c r="E12" s="1167"/>
      <c r="F12" s="1167"/>
      <c r="G12" s="1167"/>
      <c r="H12" s="1167"/>
      <c r="I12" s="57"/>
      <c r="J12" s="57"/>
      <c r="K12" s="55">
        <v>1</v>
      </c>
      <c r="L12" s="55">
        <f>+C139</f>
        <v>1</v>
      </c>
      <c r="M12" s="55">
        <v>1</v>
      </c>
      <c r="N12" s="55">
        <f>+C139</f>
        <v>1</v>
      </c>
      <c r="O12" s="524"/>
      <c r="P12" s="1164"/>
      <c r="Q12" s="1165"/>
      <c r="R12" s="42"/>
      <c r="S12" s="1165"/>
      <c r="T12" s="1164"/>
      <c r="U12" s="42"/>
      <c r="V12" s="56">
        <f>+V143</f>
        <v>0</v>
      </c>
      <c r="W12" s="56">
        <f>+W143</f>
        <v>1</v>
      </c>
      <c r="X12" s="56">
        <f>+X143</f>
        <v>0</v>
      </c>
      <c r="Y12" s="45"/>
      <c r="Z12" s="46"/>
      <c r="AA12" s="46"/>
      <c r="AB12" s="46"/>
      <c r="AC12" s="46"/>
      <c r="AD12" s="47"/>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10"/>
    </row>
    <row r="13" spans="1:58" ht="20.100000000000001" hidden="1" customHeight="1" x14ac:dyDescent="0.2">
      <c r="A13" s="51">
        <f t="shared" si="0"/>
        <v>13</v>
      </c>
      <c r="B13" s="52"/>
      <c r="C13" s="39" t="s">
        <v>21</v>
      </c>
      <c r="D13" s="1167" t="s">
        <v>22</v>
      </c>
      <c r="E13" s="1167"/>
      <c r="F13" s="1167"/>
      <c r="G13" s="1167"/>
      <c r="H13" s="1167"/>
      <c r="I13" s="57"/>
      <c r="J13" s="57"/>
      <c r="K13" s="55">
        <v>13</v>
      </c>
      <c r="L13" s="55">
        <v>12</v>
      </c>
      <c r="M13" s="55">
        <v>12</v>
      </c>
      <c r="N13" s="55">
        <f>+C191</f>
        <v>13</v>
      </c>
      <c r="O13" s="524">
        <v>1</v>
      </c>
      <c r="P13" s="1164"/>
      <c r="Q13" s="1165"/>
      <c r="R13" s="42"/>
      <c r="S13" s="1165"/>
      <c r="T13" s="1164"/>
      <c r="U13" s="42"/>
      <c r="V13" s="56">
        <f>+V195</f>
        <v>11</v>
      </c>
      <c r="W13" s="56">
        <f>+W195</f>
        <v>12</v>
      </c>
      <c r="X13" s="56">
        <f>+X195</f>
        <v>13</v>
      </c>
      <c r="Y13" s="45"/>
      <c r="Z13" s="46"/>
      <c r="AA13" s="46"/>
      <c r="AB13" s="46"/>
      <c r="AC13" s="46"/>
      <c r="AD13" s="47"/>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10"/>
    </row>
    <row r="14" spans="1:58" ht="20.100000000000001" hidden="1" customHeight="1" x14ac:dyDescent="0.2">
      <c r="A14" s="51">
        <f t="shared" si="0"/>
        <v>15</v>
      </c>
      <c r="B14" s="52"/>
      <c r="C14" s="39" t="s">
        <v>23</v>
      </c>
      <c r="D14" s="1167" t="s">
        <v>24</v>
      </c>
      <c r="E14" s="1167"/>
      <c r="F14" s="1167"/>
      <c r="G14" s="1167"/>
      <c r="H14" s="1167"/>
      <c r="I14" s="57"/>
      <c r="J14" s="57"/>
      <c r="K14" s="55">
        <v>14</v>
      </c>
      <c r="L14" s="55">
        <f>+C252</f>
        <v>16</v>
      </c>
      <c r="M14" s="55">
        <v>16</v>
      </c>
      <c r="N14" s="55">
        <f>+C252</f>
        <v>16</v>
      </c>
      <c r="O14" s="524"/>
      <c r="P14" s="1164"/>
      <c r="Q14" s="1165"/>
      <c r="R14" s="42"/>
      <c r="S14" s="1165"/>
      <c r="T14" s="1164"/>
      <c r="U14" s="42"/>
      <c r="V14" s="56">
        <f>+V256</f>
        <v>13</v>
      </c>
      <c r="W14" s="56">
        <f>+W256</f>
        <v>16</v>
      </c>
      <c r="X14" s="56">
        <f>+X256</f>
        <v>15</v>
      </c>
      <c r="Y14" s="45"/>
      <c r="Z14" s="46"/>
      <c r="AA14" s="46"/>
      <c r="AB14" s="46"/>
      <c r="AC14" s="46"/>
      <c r="AD14" s="47"/>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10"/>
    </row>
    <row r="15" spans="1:58" ht="20.100000000000001" hidden="1" customHeight="1" x14ac:dyDescent="0.2">
      <c r="A15" s="51">
        <f t="shared" si="0"/>
        <v>8</v>
      </c>
      <c r="B15" s="52"/>
      <c r="C15" s="39" t="s">
        <v>25</v>
      </c>
      <c r="D15" s="1167" t="s">
        <v>26</v>
      </c>
      <c r="E15" s="1167"/>
      <c r="F15" s="1167"/>
      <c r="G15" s="1167"/>
      <c r="H15" s="1167"/>
      <c r="I15" s="57"/>
      <c r="J15" s="60"/>
      <c r="K15" s="55">
        <v>6</v>
      </c>
      <c r="L15" s="55">
        <f>+C292</f>
        <v>9</v>
      </c>
      <c r="M15" s="55">
        <v>9</v>
      </c>
      <c r="N15" s="55">
        <f>+C298</f>
        <v>11</v>
      </c>
      <c r="O15" s="524">
        <v>2</v>
      </c>
      <c r="P15" s="1164"/>
      <c r="Q15" s="1165"/>
      <c r="R15" s="42"/>
      <c r="S15" s="1165"/>
      <c r="T15" s="1164"/>
      <c r="U15" s="42"/>
      <c r="V15" s="56">
        <f>+V302</f>
        <v>8</v>
      </c>
      <c r="W15" s="56">
        <f>+W302</f>
        <v>8</v>
      </c>
      <c r="X15" s="56">
        <f>+X302</f>
        <v>8</v>
      </c>
      <c r="Y15" s="45"/>
      <c r="Z15" s="46"/>
      <c r="AA15" s="46"/>
      <c r="AB15" s="46"/>
      <c r="AC15" s="46"/>
      <c r="AD15" s="47"/>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10"/>
    </row>
    <row r="16" spans="1:58" ht="20.100000000000001" hidden="1" customHeight="1" x14ac:dyDescent="0.2">
      <c r="A16" s="51">
        <f t="shared" si="0"/>
        <v>3</v>
      </c>
      <c r="B16" s="52"/>
      <c r="C16" s="39" t="s">
        <v>21</v>
      </c>
      <c r="D16" s="1167" t="s">
        <v>27</v>
      </c>
      <c r="E16" s="1167"/>
      <c r="F16" s="1167"/>
      <c r="G16" s="1167"/>
      <c r="H16" s="1167"/>
      <c r="I16" s="1170"/>
      <c r="J16" s="1170"/>
      <c r="K16" s="55">
        <v>3</v>
      </c>
      <c r="L16" s="55">
        <f>+C320</f>
        <v>3</v>
      </c>
      <c r="M16" s="55">
        <v>3</v>
      </c>
      <c r="N16" s="55">
        <f>+C320</f>
        <v>3</v>
      </c>
      <c r="O16" s="524"/>
      <c r="P16" s="1164"/>
      <c r="Q16" s="1165"/>
      <c r="R16" s="42"/>
      <c r="S16" s="1165"/>
      <c r="T16" s="1164"/>
      <c r="U16" s="42"/>
      <c r="V16" s="56">
        <f>+V324</f>
        <v>3</v>
      </c>
      <c r="W16" s="56">
        <f>+W324</f>
        <v>3</v>
      </c>
      <c r="X16" s="56">
        <f>+X324</f>
        <v>3</v>
      </c>
      <c r="Y16" s="45"/>
      <c r="Z16" s="46"/>
      <c r="AA16" s="46"/>
      <c r="AB16" s="46"/>
      <c r="AC16" s="46"/>
      <c r="AD16" s="47"/>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10"/>
    </row>
    <row r="17" spans="1:58" ht="20.100000000000001" hidden="1" customHeight="1" x14ac:dyDescent="0.2">
      <c r="A17" s="51">
        <f t="shared" si="0"/>
        <v>3</v>
      </c>
      <c r="B17" s="52"/>
      <c r="C17" s="39" t="s">
        <v>28</v>
      </c>
      <c r="D17" s="1167" t="s">
        <v>29</v>
      </c>
      <c r="E17" s="1167"/>
      <c r="F17" s="1167"/>
      <c r="G17" s="1167"/>
      <c r="H17" s="1167"/>
      <c r="I17" s="1170"/>
      <c r="J17" s="1170"/>
      <c r="K17" s="55">
        <v>7</v>
      </c>
      <c r="L17" s="55">
        <f>+C354</f>
        <v>7</v>
      </c>
      <c r="M17" s="55">
        <v>7</v>
      </c>
      <c r="N17" s="55">
        <f>+C354</f>
        <v>7</v>
      </c>
      <c r="O17" s="524"/>
      <c r="P17" s="1164"/>
      <c r="Q17" s="1165"/>
      <c r="R17" s="42"/>
      <c r="S17" s="1165"/>
      <c r="T17" s="1164"/>
      <c r="U17" s="42"/>
      <c r="V17" s="56">
        <f>+V358</f>
        <v>3</v>
      </c>
      <c r="W17" s="56">
        <f>+W358</f>
        <v>5</v>
      </c>
      <c r="X17" s="56">
        <f>+X358</f>
        <v>3</v>
      </c>
      <c r="Y17" s="45"/>
      <c r="Z17" s="46"/>
      <c r="AA17" s="46"/>
      <c r="AB17" s="46"/>
      <c r="AC17" s="46"/>
      <c r="AD17" s="47"/>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10"/>
    </row>
    <row r="18" spans="1:58" ht="21.95" hidden="1" customHeight="1" x14ac:dyDescent="0.2">
      <c r="A18" s="51">
        <f t="shared" si="0"/>
        <v>0</v>
      </c>
      <c r="B18" s="52"/>
      <c r="C18" s="39"/>
      <c r="D18" s="1169" t="s">
        <v>30</v>
      </c>
      <c r="E18" s="1169"/>
      <c r="F18" s="1169"/>
      <c r="G18" s="1169"/>
      <c r="H18" s="1169"/>
      <c r="I18" s="57"/>
      <c r="J18" s="57"/>
      <c r="K18" s="59"/>
      <c r="L18" s="59"/>
      <c r="M18" s="59"/>
      <c r="N18" s="59"/>
      <c r="O18" s="524"/>
      <c r="P18" s="1164"/>
      <c r="Q18" s="1165"/>
      <c r="R18" s="42"/>
      <c r="S18" s="1165"/>
      <c r="T18" s="1164"/>
      <c r="U18" s="42"/>
      <c r="V18" s="49"/>
      <c r="W18" s="49"/>
      <c r="X18" s="49"/>
      <c r="Y18" s="45"/>
      <c r="Z18" s="46"/>
      <c r="AA18" s="46"/>
      <c r="AB18" s="46"/>
      <c r="AC18" s="46"/>
      <c r="AD18" s="47"/>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10"/>
    </row>
    <row r="19" spans="1:58" ht="20.100000000000001" hidden="1" customHeight="1" x14ac:dyDescent="0.2">
      <c r="A19" s="51">
        <f t="shared" si="0"/>
        <v>6</v>
      </c>
      <c r="B19" s="52"/>
      <c r="C19" s="39" t="s">
        <v>31</v>
      </c>
      <c r="D19" s="1167" t="s">
        <v>32</v>
      </c>
      <c r="E19" s="1167"/>
      <c r="F19" s="1167"/>
      <c r="G19" s="1167"/>
      <c r="H19" s="1167"/>
      <c r="I19" s="57"/>
      <c r="J19" s="60"/>
      <c r="K19" s="55">
        <v>8</v>
      </c>
      <c r="L19" s="55">
        <v>8</v>
      </c>
      <c r="M19" s="55">
        <v>8</v>
      </c>
      <c r="N19" s="55">
        <f>+C393</f>
        <v>8</v>
      </c>
      <c r="O19" s="524"/>
      <c r="P19" s="1164"/>
      <c r="Q19" s="1165"/>
      <c r="R19" s="42"/>
      <c r="S19" s="1165"/>
      <c r="T19" s="1164"/>
      <c r="U19" s="42"/>
      <c r="V19" s="56">
        <f>+V397</f>
        <v>6</v>
      </c>
      <c r="W19" s="56">
        <f>+W397</f>
        <v>8</v>
      </c>
      <c r="X19" s="56">
        <f>+X397</f>
        <v>6</v>
      </c>
      <c r="Y19" s="45"/>
      <c r="Z19" s="46"/>
      <c r="AA19" s="46"/>
      <c r="AB19" s="46"/>
      <c r="AC19" s="46"/>
      <c r="AD19" s="47"/>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10"/>
    </row>
    <row r="20" spans="1:58" ht="20.100000000000001" hidden="1" customHeight="1" x14ac:dyDescent="0.2">
      <c r="A20" s="51">
        <f t="shared" si="0"/>
        <v>9</v>
      </c>
      <c r="B20" s="52"/>
      <c r="C20" s="39" t="s">
        <v>33</v>
      </c>
      <c r="D20" s="1167" t="s">
        <v>34</v>
      </c>
      <c r="E20" s="1167"/>
      <c r="F20" s="1167"/>
      <c r="G20" s="1167"/>
      <c r="H20" s="1167"/>
      <c r="I20" s="57"/>
      <c r="J20" s="60"/>
      <c r="K20" s="55">
        <v>7</v>
      </c>
      <c r="L20" s="55">
        <f>+C436</f>
        <v>10</v>
      </c>
      <c r="M20" s="55">
        <v>10</v>
      </c>
      <c r="N20" s="55">
        <f>+C436</f>
        <v>10</v>
      </c>
      <c r="O20" s="524"/>
      <c r="P20" s="1164"/>
      <c r="Q20" s="1165"/>
      <c r="R20" s="42"/>
      <c r="S20" s="1165"/>
      <c r="T20" s="1164"/>
      <c r="U20" s="42"/>
      <c r="V20" s="56">
        <f>+V440</f>
        <v>6</v>
      </c>
      <c r="W20" s="56">
        <f>+W440</f>
        <v>10</v>
      </c>
      <c r="X20" s="56">
        <f>+X440</f>
        <v>9</v>
      </c>
      <c r="Y20" s="45"/>
      <c r="Z20" s="46"/>
      <c r="AA20" s="46"/>
      <c r="AB20" s="46"/>
      <c r="AC20" s="46"/>
      <c r="AD20" s="47"/>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10"/>
    </row>
    <row r="21" spans="1:58" ht="20.100000000000001" hidden="1" customHeight="1" x14ac:dyDescent="0.2">
      <c r="A21" s="51">
        <f t="shared" si="0"/>
        <v>4</v>
      </c>
      <c r="B21" s="52"/>
      <c r="C21" s="39" t="s">
        <v>35</v>
      </c>
      <c r="D21" s="1167" t="s">
        <v>36</v>
      </c>
      <c r="E21" s="1167"/>
      <c r="F21" s="1167"/>
      <c r="G21" s="1167"/>
      <c r="H21" s="1167"/>
      <c r="I21" s="57"/>
      <c r="J21" s="60"/>
      <c r="K21" s="55">
        <f>+C470</f>
        <v>7</v>
      </c>
      <c r="L21" s="55">
        <v>7</v>
      </c>
      <c r="M21" s="55">
        <v>7</v>
      </c>
      <c r="N21" s="55">
        <f>+C470</f>
        <v>7</v>
      </c>
      <c r="O21" s="524"/>
      <c r="P21" s="1164"/>
      <c r="Q21" s="1165"/>
      <c r="R21" s="42"/>
      <c r="S21" s="1165"/>
      <c r="T21" s="1164"/>
      <c r="U21" s="42"/>
      <c r="V21" s="56">
        <f>+V474</f>
        <v>4</v>
      </c>
      <c r="W21" s="56">
        <f>+W474</f>
        <v>6</v>
      </c>
      <c r="X21" s="56">
        <f>+X474</f>
        <v>4</v>
      </c>
      <c r="Y21" s="45"/>
      <c r="Z21" s="46"/>
      <c r="AA21" s="46"/>
      <c r="AB21" s="46"/>
      <c r="AC21" s="46"/>
      <c r="AD21" s="47"/>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10"/>
    </row>
    <row r="22" spans="1:58" ht="20.100000000000001" hidden="1" customHeight="1" x14ac:dyDescent="0.2">
      <c r="A22" s="51">
        <f t="shared" si="0"/>
        <v>11</v>
      </c>
      <c r="B22" s="52"/>
      <c r="C22" s="39" t="s">
        <v>37</v>
      </c>
      <c r="D22" s="1167" t="s">
        <v>38</v>
      </c>
      <c r="E22" s="1167"/>
      <c r="F22" s="1167"/>
      <c r="G22" s="1167"/>
      <c r="H22" s="1167"/>
      <c r="I22" s="57"/>
      <c r="J22" s="60"/>
      <c r="K22" s="55">
        <v>11</v>
      </c>
      <c r="L22" s="55">
        <f>+C534</f>
        <v>17</v>
      </c>
      <c r="M22" s="55">
        <v>13</v>
      </c>
      <c r="N22" s="55">
        <f>+C534</f>
        <v>17</v>
      </c>
      <c r="O22" s="524">
        <v>4</v>
      </c>
      <c r="P22" s="1164"/>
      <c r="Q22" s="1165"/>
      <c r="R22" s="42"/>
      <c r="S22" s="1165"/>
      <c r="T22" s="1164"/>
      <c r="U22" s="42"/>
      <c r="V22" s="56">
        <f>+V538</f>
        <v>7</v>
      </c>
      <c r="W22" s="56">
        <f>+W538</f>
        <v>10</v>
      </c>
      <c r="X22" s="56">
        <f>+X538</f>
        <v>11</v>
      </c>
      <c r="Y22" s="45"/>
      <c r="Z22" s="46"/>
      <c r="AA22" s="46"/>
      <c r="AB22" s="46"/>
      <c r="AC22" s="46"/>
      <c r="AD22" s="47"/>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10"/>
    </row>
    <row r="23" spans="1:58" ht="20.100000000000001" hidden="1" customHeight="1" x14ac:dyDescent="0.2">
      <c r="A23" s="51">
        <f t="shared" si="0"/>
        <v>14</v>
      </c>
      <c r="B23" s="52"/>
      <c r="C23" s="39" t="s">
        <v>39</v>
      </c>
      <c r="D23" s="1167" t="s">
        <v>40</v>
      </c>
      <c r="E23" s="1167"/>
      <c r="F23" s="1167"/>
      <c r="G23" s="1167"/>
      <c r="H23" s="1167"/>
      <c r="I23" s="57"/>
      <c r="J23" s="60"/>
      <c r="K23" s="55">
        <v>13</v>
      </c>
      <c r="L23" s="55">
        <f>+C613</f>
        <v>22</v>
      </c>
      <c r="M23" s="55">
        <v>15</v>
      </c>
      <c r="N23" s="55">
        <f>+C613</f>
        <v>22</v>
      </c>
      <c r="O23" s="524">
        <v>7</v>
      </c>
      <c r="P23" s="1164"/>
      <c r="Q23" s="1165"/>
      <c r="R23" s="42"/>
      <c r="S23" s="1165"/>
      <c r="T23" s="1164"/>
      <c r="U23" s="42"/>
      <c r="V23" s="56">
        <f>+V617</f>
        <v>6</v>
      </c>
      <c r="W23" s="56">
        <f>+W617</f>
        <v>12</v>
      </c>
      <c r="X23" s="56">
        <f>+X617</f>
        <v>14</v>
      </c>
      <c r="Y23" s="45"/>
      <c r="Z23" s="46"/>
      <c r="AA23" s="46"/>
      <c r="AB23" s="46"/>
      <c r="AC23" s="46"/>
      <c r="AD23" s="47"/>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10"/>
    </row>
    <row r="24" spans="1:58" ht="20.100000000000001" hidden="1" customHeight="1" x14ac:dyDescent="0.2">
      <c r="A24" s="51">
        <f t="shared" si="0"/>
        <v>2</v>
      </c>
      <c r="B24" s="52"/>
      <c r="C24" s="39" t="s">
        <v>41</v>
      </c>
      <c r="D24" s="1167" t="s">
        <v>42</v>
      </c>
      <c r="E24" s="1167"/>
      <c r="F24" s="1167"/>
      <c r="G24" s="1167"/>
      <c r="H24" s="1167"/>
      <c r="I24" s="57"/>
      <c r="J24" s="60"/>
      <c r="K24" s="55">
        <v>8</v>
      </c>
      <c r="L24" s="55">
        <f>+C647</f>
        <v>7</v>
      </c>
      <c r="M24" s="55">
        <v>8</v>
      </c>
      <c r="N24" s="55">
        <f>+C647</f>
        <v>7</v>
      </c>
      <c r="O24" s="525">
        <v>1</v>
      </c>
      <c r="P24" s="1164"/>
      <c r="Q24" s="1165"/>
      <c r="R24" s="42"/>
      <c r="S24" s="1165"/>
      <c r="T24" s="1164"/>
      <c r="U24" s="42"/>
      <c r="V24" s="56">
        <f>+V651</f>
        <v>2</v>
      </c>
      <c r="W24" s="56">
        <f>+W651</f>
        <v>8</v>
      </c>
      <c r="X24" s="56">
        <f>+X651</f>
        <v>2</v>
      </c>
      <c r="Y24" s="45"/>
      <c r="Z24" s="46"/>
      <c r="AA24" s="46"/>
      <c r="AB24" s="46"/>
      <c r="AC24" s="46"/>
      <c r="AD24" s="47"/>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10"/>
    </row>
    <row r="25" spans="1:58" ht="20.100000000000001" hidden="1" customHeight="1" x14ac:dyDescent="0.2">
      <c r="A25" s="51">
        <f t="shared" si="0"/>
        <v>2</v>
      </c>
      <c r="B25" s="52"/>
      <c r="C25" s="39" t="s">
        <v>33</v>
      </c>
      <c r="D25" s="1167" t="s">
        <v>43</v>
      </c>
      <c r="E25" s="1167"/>
      <c r="F25" s="1167"/>
      <c r="G25" s="1167"/>
      <c r="H25" s="1167"/>
      <c r="I25" s="57"/>
      <c r="J25" s="60"/>
      <c r="K25" s="55">
        <v>2</v>
      </c>
      <c r="L25" s="55">
        <f>+C666</f>
        <v>2</v>
      </c>
      <c r="M25" s="55">
        <v>2</v>
      </c>
      <c r="N25" s="55">
        <f>+C666</f>
        <v>2</v>
      </c>
      <c r="O25" s="524"/>
      <c r="P25" s="1164"/>
      <c r="Q25" s="1165"/>
      <c r="R25" s="42"/>
      <c r="S25" s="1165"/>
      <c r="T25" s="1164"/>
      <c r="U25" s="42"/>
      <c r="V25" s="56">
        <f>+V670</f>
        <v>2</v>
      </c>
      <c r="W25" s="56">
        <f>+W670</f>
        <v>2</v>
      </c>
      <c r="X25" s="56">
        <f>+X670</f>
        <v>2</v>
      </c>
      <c r="Y25" s="45"/>
      <c r="Z25" s="46"/>
      <c r="AA25" s="46"/>
      <c r="AB25" s="46"/>
      <c r="AC25" s="46"/>
      <c r="AD25" s="47"/>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10"/>
    </row>
    <row r="26" spans="1:58" ht="21.95" hidden="1" customHeight="1" x14ac:dyDescent="0.2">
      <c r="A26" s="51">
        <f t="shared" si="0"/>
        <v>0</v>
      </c>
      <c r="B26" s="52"/>
      <c r="C26" s="39"/>
      <c r="D26" s="1166" t="s">
        <v>44</v>
      </c>
      <c r="E26" s="1166"/>
      <c r="F26" s="1166"/>
      <c r="G26" s="1166"/>
      <c r="H26" s="1166"/>
      <c r="I26" s="57"/>
      <c r="J26" s="60"/>
      <c r="K26" s="59"/>
      <c r="L26" s="59"/>
      <c r="M26" s="59"/>
      <c r="N26" s="59"/>
      <c r="O26" s="524"/>
      <c r="P26" s="1164"/>
      <c r="Q26" s="1165"/>
      <c r="R26" s="42"/>
      <c r="S26" s="1165"/>
      <c r="T26" s="1164"/>
      <c r="U26" s="42"/>
      <c r="V26" s="49"/>
      <c r="W26" s="49"/>
      <c r="X26" s="49"/>
      <c r="Y26" s="45"/>
      <c r="Z26" s="46"/>
      <c r="AA26" s="46"/>
      <c r="AB26" s="46"/>
      <c r="AC26" s="46"/>
      <c r="AD26" s="47"/>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10"/>
    </row>
    <row r="27" spans="1:58" ht="20.100000000000001" hidden="1" customHeight="1" x14ac:dyDescent="0.2">
      <c r="A27" s="61">
        <f t="shared" si="0"/>
        <v>6</v>
      </c>
      <c r="B27" s="62"/>
      <c r="C27" s="39" t="s">
        <v>45</v>
      </c>
      <c r="D27" s="1167" t="s">
        <v>46</v>
      </c>
      <c r="E27" s="1167"/>
      <c r="F27" s="1167"/>
      <c r="G27" s="1167"/>
      <c r="H27" s="1167"/>
      <c r="I27" s="63"/>
      <c r="J27" s="60"/>
      <c r="K27" s="55">
        <v>9</v>
      </c>
      <c r="L27" s="55">
        <f>+C708</f>
        <v>9</v>
      </c>
      <c r="M27" s="55">
        <v>9</v>
      </c>
      <c r="N27" s="55">
        <f>+C708</f>
        <v>9</v>
      </c>
      <c r="O27" s="524"/>
      <c r="P27" s="1164"/>
      <c r="Q27" s="1165"/>
      <c r="R27" s="42"/>
      <c r="S27" s="1165"/>
      <c r="T27" s="1164"/>
      <c r="U27" s="42"/>
      <c r="V27" s="56">
        <f>+V712</f>
        <v>4</v>
      </c>
      <c r="W27" s="56">
        <f>+W712</f>
        <v>9</v>
      </c>
      <c r="X27" s="56">
        <f>+X712</f>
        <v>6</v>
      </c>
      <c r="Y27" s="45"/>
      <c r="Z27" s="46"/>
      <c r="AA27" s="46"/>
      <c r="AB27" s="46"/>
      <c r="AC27" s="46"/>
      <c r="AD27" s="47"/>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10"/>
    </row>
    <row r="28" spans="1:58" ht="18" hidden="1" customHeight="1" x14ac:dyDescent="0.2">
      <c r="A28" s="64">
        <f>SUM(A8:A27)</f>
        <v>105</v>
      </c>
      <c r="B28" s="65">
        <f>SUM(B8:B27)</f>
        <v>0</v>
      </c>
      <c r="C28" s="66"/>
      <c r="D28" s="1163"/>
      <c r="E28" s="1163"/>
      <c r="F28" s="1163"/>
      <c r="G28" s="1163"/>
      <c r="H28" s="1163"/>
      <c r="I28" s="63"/>
      <c r="J28" s="60"/>
      <c r="K28" s="67">
        <f>SUM(K8:K27)</f>
        <v>123</v>
      </c>
      <c r="L28" s="526">
        <f>SUM(L8:L27)</f>
        <v>146</v>
      </c>
      <c r="M28" s="526">
        <v>136</v>
      </c>
      <c r="N28" s="526">
        <f>SUM(N8:N27)</f>
        <v>149</v>
      </c>
      <c r="O28" s="527">
        <f>+N28-M28</f>
        <v>13</v>
      </c>
      <c r="P28" s="1164"/>
      <c r="Q28" s="1165"/>
      <c r="R28" s="42"/>
      <c r="S28" s="1165"/>
      <c r="T28" s="1164"/>
      <c r="U28" s="42"/>
      <c r="V28" s="68">
        <f>SUM(V7:V27)</f>
        <v>83</v>
      </c>
      <c r="W28" s="68">
        <f>SUM(W7:W27)</f>
        <v>123</v>
      </c>
      <c r="X28" s="69">
        <f>SUM(X7:X27)</f>
        <v>105</v>
      </c>
      <c r="Y28" s="45"/>
      <c r="Z28" s="46"/>
      <c r="AA28" s="46"/>
      <c r="AB28" s="46"/>
      <c r="AC28" s="46"/>
      <c r="AD28" s="47"/>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10"/>
    </row>
    <row r="29" spans="1:58" ht="15.75" hidden="1" x14ac:dyDescent="0.2">
      <c r="A29" s="70"/>
      <c r="B29" s="71"/>
      <c r="C29" s="39"/>
      <c r="D29" s="1163"/>
      <c r="E29" s="1163"/>
      <c r="F29" s="1163"/>
      <c r="G29" s="1163"/>
      <c r="H29" s="1163"/>
      <c r="I29" s="72"/>
      <c r="J29" s="60"/>
      <c r="K29" s="73"/>
      <c r="L29" s="528">
        <f>+(L28*100%)/K28</f>
        <v>1.1869918699186992</v>
      </c>
      <c r="M29" s="528">
        <f>+(M28*100%)/L28</f>
        <v>0.93150684931506844</v>
      </c>
      <c r="N29" s="528">
        <f>+(N28*100%)/M28</f>
        <v>1.0955882352941178</v>
      </c>
      <c r="O29" s="529"/>
      <c r="P29" s="1164"/>
      <c r="Q29" s="1165"/>
      <c r="R29" s="42"/>
      <c r="S29" s="1165"/>
      <c r="T29" s="1164"/>
      <c r="U29" s="42"/>
      <c r="V29" s="42"/>
      <c r="W29" s="45"/>
      <c r="X29" s="45"/>
      <c r="Y29" s="45"/>
      <c r="Z29" s="46"/>
      <c r="AA29" s="46"/>
      <c r="AB29" s="46"/>
      <c r="AC29" s="46"/>
      <c r="AD29" s="47"/>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10"/>
    </row>
    <row r="30" spans="1:58" ht="12.75" x14ac:dyDescent="0.2">
      <c r="A30" s="74"/>
      <c r="B30" s="52"/>
      <c r="C30" s="39"/>
      <c r="D30" s="75"/>
      <c r="E30" s="75"/>
      <c r="F30" s="76"/>
      <c r="G30" s="76"/>
      <c r="H30" s="76"/>
      <c r="I30" s="72"/>
      <c r="J30" s="72"/>
      <c r="K30" s="46"/>
      <c r="L30" s="46"/>
      <c r="M30" s="46"/>
      <c r="N30" s="46"/>
      <c r="O30" s="46"/>
      <c r="P30" s="46"/>
      <c r="Q30" s="46"/>
      <c r="R30" s="46"/>
      <c r="S30" s="46"/>
      <c r="T30" s="46"/>
      <c r="U30" s="42"/>
      <c r="V30" s="42"/>
      <c r="W30" s="45"/>
      <c r="X30" s="45"/>
      <c r="Y30" s="45"/>
      <c r="Z30" s="46"/>
      <c r="AA30" s="46"/>
      <c r="AB30" s="46"/>
      <c r="AC30" s="46"/>
      <c r="AD30" s="47"/>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10"/>
    </row>
    <row r="31" spans="1:58" s="11" customFormat="1" ht="30" customHeight="1" x14ac:dyDescent="0.2">
      <c r="A31" s="51"/>
      <c r="B31" s="77"/>
      <c r="C31" s="39"/>
      <c r="D31" s="1168" t="s">
        <v>47</v>
      </c>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c r="AR31" s="1168"/>
      <c r="AS31" s="1168"/>
      <c r="AT31" s="1168"/>
      <c r="AU31" s="1168"/>
      <c r="AV31" s="1168"/>
      <c r="AW31" s="1168"/>
      <c r="AX31" s="1168"/>
      <c r="AY31" s="1168"/>
      <c r="AZ31" s="1168"/>
      <c r="BA31" s="1168"/>
      <c r="BB31" s="1168"/>
      <c r="BC31" s="1168"/>
      <c r="BD31" s="1168"/>
      <c r="BE31" s="78"/>
      <c r="BF31" s="10"/>
    </row>
    <row r="32" spans="1:58" ht="12.75" hidden="1" x14ac:dyDescent="0.2">
      <c r="A32" s="79"/>
      <c r="B32" s="80"/>
      <c r="C32" s="81"/>
      <c r="D32" s="82"/>
      <c r="E32" s="82"/>
      <c r="F32" s="46"/>
      <c r="G32" s="46"/>
      <c r="H32" s="46"/>
      <c r="I32" s="46"/>
      <c r="J32" s="83"/>
      <c r="K32" s="46"/>
      <c r="L32" s="46"/>
      <c r="M32" s="46"/>
      <c r="N32" s="46"/>
      <c r="O32" s="46"/>
      <c r="P32" s="46"/>
      <c r="Q32" s="46"/>
      <c r="R32" s="46"/>
      <c r="S32" s="46"/>
      <c r="T32" s="46"/>
      <c r="U32" s="84" t="s">
        <v>48</v>
      </c>
      <c r="V32" s="42"/>
      <c r="W32" s="42"/>
      <c r="X32" s="42"/>
      <c r="Y32" s="46"/>
      <c r="Z32" s="46"/>
      <c r="AA32" s="46"/>
      <c r="AB32" s="46"/>
      <c r="AC32" s="46"/>
      <c r="AD32" s="47"/>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9"/>
      <c r="BD32" s="9"/>
      <c r="BE32" s="48"/>
      <c r="BF32" s="49"/>
    </row>
    <row r="33" spans="1:58" ht="18.75" hidden="1" x14ac:dyDescent="0.2">
      <c r="A33" s="79"/>
      <c r="B33" s="80"/>
      <c r="C33" s="81"/>
      <c r="D33" s="1162" t="s">
        <v>49</v>
      </c>
      <c r="E33" s="1162"/>
      <c r="F33" s="1162"/>
      <c r="G33" s="1162"/>
      <c r="H33" s="1162"/>
      <c r="I33" s="1162"/>
      <c r="J33" s="1162"/>
      <c r="K33" s="1162"/>
      <c r="L33" s="1162"/>
      <c r="M33" s="1162"/>
      <c r="N33" s="1162"/>
      <c r="O33" s="1162"/>
      <c r="P33" s="1162"/>
      <c r="Q33" s="1162"/>
      <c r="R33" s="1162"/>
      <c r="S33" s="1162"/>
      <c r="T33" s="1162"/>
      <c r="U33" s="1162"/>
      <c r="V33" s="1162"/>
      <c r="W33" s="1162"/>
      <c r="X33" s="1162"/>
      <c r="Y33" s="1162"/>
      <c r="Z33" s="1162"/>
      <c r="AA33" s="1162"/>
      <c r="AB33" s="1162"/>
      <c r="AC33" s="1162"/>
      <c r="AD33" s="1162"/>
      <c r="AE33" s="1162"/>
      <c r="AF33" s="1162"/>
      <c r="AG33" s="1162"/>
      <c r="AH33" s="1162"/>
      <c r="AI33" s="1162"/>
      <c r="AJ33" s="1162"/>
      <c r="AK33" s="1162"/>
      <c r="AL33" s="1162"/>
      <c r="AM33" s="1162"/>
      <c r="AN33" s="1162"/>
      <c r="AO33" s="1162"/>
      <c r="AP33" s="1162"/>
      <c r="AQ33" s="1162"/>
      <c r="AR33" s="1162"/>
      <c r="AS33" s="1162"/>
      <c r="AT33" s="48"/>
      <c r="AU33" s="48"/>
      <c r="AV33" s="48"/>
      <c r="AW33" s="48"/>
      <c r="AX33" s="48"/>
      <c r="AY33" s="48"/>
      <c r="AZ33" s="48"/>
      <c r="BA33" s="48"/>
      <c r="BB33" s="48"/>
      <c r="BC33" s="9"/>
      <c r="BD33" s="9"/>
      <c r="BE33" s="48"/>
      <c r="BF33" s="49"/>
    </row>
    <row r="34" spans="1:58" ht="15" hidden="1" customHeight="1" x14ac:dyDescent="0.2">
      <c r="A34" s="79"/>
      <c r="B34" s="80"/>
      <c r="C34" s="85"/>
      <c r="D34" s="691" t="s">
        <v>50</v>
      </c>
      <c r="E34" s="691"/>
      <c r="F34" s="691"/>
      <c r="G34" s="691"/>
      <c r="H34" s="691"/>
      <c r="I34" s="691" t="s">
        <v>51</v>
      </c>
      <c r="J34" s="691"/>
      <c r="K34" s="691" t="s">
        <v>52</v>
      </c>
      <c r="L34" s="691"/>
      <c r="M34" s="691"/>
      <c r="N34" s="691" t="s">
        <v>53</v>
      </c>
      <c r="O34" s="691" t="s">
        <v>54</v>
      </c>
      <c r="P34" s="703" t="s">
        <v>55</v>
      </c>
      <c r="Q34" s="703" t="s">
        <v>56</v>
      </c>
      <c r="R34" s="703" t="s">
        <v>57</v>
      </c>
      <c r="S34" s="703" t="s">
        <v>58</v>
      </c>
      <c r="T34" s="703" t="s">
        <v>59</v>
      </c>
      <c r="U34" s="691" t="s">
        <v>60</v>
      </c>
      <c r="V34" s="691"/>
      <c r="W34" s="691"/>
      <c r="X34" s="691"/>
      <c r="Y34" s="691"/>
      <c r="Z34" s="691" t="s">
        <v>61</v>
      </c>
      <c r="AA34" s="691"/>
      <c r="AB34" s="691"/>
      <c r="AC34" s="691"/>
      <c r="AD34" s="691" t="s">
        <v>62</v>
      </c>
      <c r="AE34" s="691"/>
      <c r="AF34" s="691"/>
      <c r="AG34" s="691" t="s">
        <v>63</v>
      </c>
      <c r="AH34" s="691" t="s">
        <v>64</v>
      </c>
      <c r="AI34" s="691" t="s">
        <v>65</v>
      </c>
      <c r="AJ34" s="691" t="s">
        <v>66</v>
      </c>
      <c r="AK34" s="691"/>
      <c r="AL34" s="691"/>
      <c r="AM34" s="691"/>
      <c r="AN34" s="1084"/>
      <c r="AO34" s="1084"/>
      <c r="AP34" s="1084"/>
      <c r="AQ34" s="1084"/>
      <c r="AR34" s="1084"/>
      <c r="AS34" s="1085"/>
      <c r="AT34" s="48"/>
      <c r="AU34" s="48"/>
      <c r="AV34" s="48"/>
      <c r="AW34" s="48"/>
      <c r="AX34" s="48"/>
      <c r="AY34" s="48"/>
      <c r="AZ34" s="48"/>
      <c r="BA34" s="48"/>
      <c r="BB34" s="48"/>
      <c r="BC34" s="9"/>
      <c r="BD34" s="9"/>
      <c r="BE34" s="48"/>
      <c r="BF34" s="49"/>
    </row>
    <row r="35" spans="1:58" ht="15" hidden="1" customHeight="1" x14ac:dyDescent="0.2">
      <c r="A35" s="79"/>
      <c r="B35" s="80"/>
      <c r="C35" s="85"/>
      <c r="D35" s="691"/>
      <c r="E35" s="691"/>
      <c r="F35" s="691"/>
      <c r="G35" s="691"/>
      <c r="H35" s="691"/>
      <c r="I35" s="691"/>
      <c r="J35" s="691"/>
      <c r="K35" s="691"/>
      <c r="L35" s="691"/>
      <c r="M35" s="691"/>
      <c r="N35" s="691"/>
      <c r="O35" s="691"/>
      <c r="P35" s="703"/>
      <c r="Q35" s="703"/>
      <c r="R35" s="703"/>
      <c r="S35" s="703"/>
      <c r="T35" s="703"/>
      <c r="U35" s="691" t="s">
        <v>67</v>
      </c>
      <c r="V35" s="691"/>
      <c r="W35" s="691"/>
      <c r="X35" s="691"/>
      <c r="Y35" s="691"/>
      <c r="Z35" s="691" t="s">
        <v>67</v>
      </c>
      <c r="AA35" s="691"/>
      <c r="AB35" s="691"/>
      <c r="AC35" s="691"/>
      <c r="AD35" s="691" t="s">
        <v>68</v>
      </c>
      <c r="AE35" s="691" t="s">
        <v>69</v>
      </c>
      <c r="AF35" s="691" t="s">
        <v>70</v>
      </c>
      <c r="AG35" s="691"/>
      <c r="AH35" s="691"/>
      <c r="AI35" s="691"/>
      <c r="AJ35" s="691"/>
      <c r="AK35" s="691"/>
      <c r="AL35" s="691"/>
      <c r="AM35" s="691"/>
      <c r="AN35" s="705"/>
      <c r="AO35" s="705"/>
      <c r="AP35" s="705"/>
      <c r="AQ35" s="705"/>
      <c r="AR35" s="705"/>
      <c r="AS35" s="706"/>
      <c r="AT35" s="48"/>
      <c r="AU35" s="48"/>
      <c r="AV35" s="48"/>
      <c r="AW35" s="48"/>
      <c r="AX35" s="48"/>
      <c r="AY35" s="48"/>
      <c r="AZ35" s="48"/>
      <c r="BA35" s="48"/>
      <c r="BB35" s="48"/>
      <c r="BC35" s="9"/>
      <c r="BD35" s="9"/>
      <c r="BE35" s="48"/>
      <c r="BF35" s="49"/>
    </row>
    <row r="36" spans="1:58" s="95" customFormat="1" ht="24" hidden="1" customHeight="1" x14ac:dyDescent="0.2">
      <c r="A36" s="86"/>
      <c r="B36" s="87"/>
      <c r="C36" s="88"/>
      <c r="D36" s="691"/>
      <c r="E36" s="691"/>
      <c r="F36" s="691"/>
      <c r="G36" s="691"/>
      <c r="H36" s="691"/>
      <c r="I36" s="691"/>
      <c r="J36" s="691"/>
      <c r="K36" s="89" t="s">
        <v>71</v>
      </c>
      <c r="L36" s="89"/>
      <c r="M36" s="89" t="s">
        <v>72</v>
      </c>
      <c r="N36" s="691"/>
      <c r="O36" s="691"/>
      <c r="P36" s="703"/>
      <c r="Q36" s="703"/>
      <c r="R36" s="703"/>
      <c r="S36" s="703"/>
      <c r="T36" s="703"/>
      <c r="U36" s="90" t="s">
        <v>73</v>
      </c>
      <c r="V36" s="89">
        <v>1</v>
      </c>
      <c r="W36" s="91">
        <v>2</v>
      </c>
      <c r="X36" s="91">
        <v>3</v>
      </c>
      <c r="Y36" s="91">
        <v>4</v>
      </c>
      <c r="Z36" s="89">
        <v>1</v>
      </c>
      <c r="AA36" s="91">
        <v>2</v>
      </c>
      <c r="AB36" s="91">
        <v>3</v>
      </c>
      <c r="AC36" s="91">
        <v>4</v>
      </c>
      <c r="AD36" s="691"/>
      <c r="AE36" s="691"/>
      <c r="AF36" s="691"/>
      <c r="AG36" s="691"/>
      <c r="AH36" s="691"/>
      <c r="AI36" s="691"/>
      <c r="AJ36" s="89" t="s">
        <v>74</v>
      </c>
      <c r="AK36" s="91" t="s">
        <v>75</v>
      </c>
      <c r="AL36" s="91" t="s">
        <v>76</v>
      </c>
      <c r="AM36" s="91" t="s">
        <v>77</v>
      </c>
      <c r="AN36" s="92" t="s">
        <v>78</v>
      </c>
      <c r="AO36" s="92" t="s">
        <v>79</v>
      </c>
      <c r="AP36" s="92" t="s">
        <v>80</v>
      </c>
      <c r="AQ36" s="92" t="s">
        <v>81</v>
      </c>
      <c r="AR36" s="93" t="s">
        <v>82</v>
      </c>
      <c r="AS36" s="93" t="s">
        <v>83</v>
      </c>
      <c r="AT36" s="48"/>
      <c r="AU36" s="48"/>
      <c r="AV36" s="48"/>
      <c r="AW36" s="48"/>
      <c r="AX36" s="48"/>
      <c r="AY36" s="48"/>
      <c r="AZ36" s="48"/>
      <c r="BA36" s="48"/>
      <c r="BB36" s="48"/>
      <c r="BC36" s="9"/>
      <c r="BD36" s="9"/>
      <c r="BE36" s="47"/>
      <c r="BF36" s="94"/>
    </row>
    <row r="37" spans="1:58" s="102" customFormat="1" ht="24.95" hidden="1" customHeight="1" x14ac:dyDescent="0.2">
      <c r="A37" s="1158"/>
      <c r="B37" s="96"/>
      <c r="C37" s="1159"/>
      <c r="D37" s="1160" t="s">
        <v>84</v>
      </c>
      <c r="E37" s="1160"/>
      <c r="F37" s="1160"/>
      <c r="G37" s="1160"/>
      <c r="H37" s="1160"/>
      <c r="I37" s="1161" t="s">
        <v>85</v>
      </c>
      <c r="J37" s="1161"/>
      <c r="K37" s="1154" t="s">
        <v>86</v>
      </c>
      <c r="L37" s="1155" t="s">
        <v>87</v>
      </c>
      <c r="M37" s="1154" t="str">
        <f>CONCATENATE(U37,$U$32,U38)</f>
        <v>No. de reportes oportunos del periodo / No. de reportes totales proyectados</v>
      </c>
      <c r="N37" s="1155" t="s">
        <v>88</v>
      </c>
      <c r="O37" s="1155" t="s">
        <v>89</v>
      </c>
      <c r="P37" s="1148" t="s">
        <v>90</v>
      </c>
      <c r="Q37" s="1148">
        <v>0.35</v>
      </c>
      <c r="R37" s="1148">
        <v>0.95</v>
      </c>
      <c r="S37" s="1149">
        <v>0.5</v>
      </c>
      <c r="T37" s="1150" t="s">
        <v>91</v>
      </c>
      <c r="U37" s="97" t="s">
        <v>92</v>
      </c>
      <c r="V37" s="98">
        <f>+V65+V90+V129+V145+V197+V258+V304+V326+V360+V399+V442+V476+V540+V619+V653+V672+V714</f>
        <v>24</v>
      </c>
      <c r="W37" s="98">
        <f>+W65+W90+W129+W145+W197+W258+W304+W326+W360+W399+W442+W476+W540+W619+W653+W672+W714</f>
        <v>42</v>
      </c>
      <c r="X37" s="98">
        <f>+X65+X90+X129+X145+X197+X258+X304+X326+X360+X399+X442+X476+X540+X619+X653+X672+X714</f>
        <v>1</v>
      </c>
      <c r="Y37" s="98">
        <f>+Y65+Y90+Y129+Y145+Y197+Y258+Y304+Y326+Y360+Y399+Y442+Y476+Y540+Y619+Y653+Y672+Y714</f>
        <v>0</v>
      </c>
      <c r="Z37" s="99">
        <f>+V37</f>
        <v>24</v>
      </c>
      <c r="AA37" s="99">
        <f>+W37</f>
        <v>42</v>
      </c>
      <c r="AB37" s="99">
        <f>+X37</f>
        <v>1</v>
      </c>
      <c r="AC37" s="99">
        <f>+Y37</f>
        <v>0</v>
      </c>
      <c r="AD37" s="1151">
        <f>+AE37+AF37+AG37</f>
        <v>0</v>
      </c>
      <c r="AE37" s="1145">
        <v>0</v>
      </c>
      <c r="AF37" s="1145">
        <v>0</v>
      </c>
      <c r="AG37" s="1145">
        <v>0</v>
      </c>
      <c r="AH37" s="1143" t="s">
        <v>93</v>
      </c>
      <c r="AI37" s="1143" t="s">
        <v>93</v>
      </c>
      <c r="AJ37" s="1143" t="s">
        <v>94</v>
      </c>
      <c r="AK37" s="1143"/>
      <c r="AL37" s="1143"/>
      <c r="AM37" s="1143"/>
      <c r="AN37" s="1143" t="s">
        <v>94</v>
      </c>
      <c r="AO37" s="1143"/>
      <c r="AP37" s="1143"/>
      <c r="AQ37" s="1143"/>
      <c r="AR37" s="1143" t="s">
        <v>94</v>
      </c>
      <c r="AS37" s="1143"/>
      <c r="AT37" s="100"/>
      <c r="AU37" s="100"/>
      <c r="AV37" s="100"/>
      <c r="AW37" s="100"/>
      <c r="AX37" s="100"/>
      <c r="AY37" s="100"/>
      <c r="AZ37" s="100"/>
      <c r="BA37" s="100"/>
      <c r="BB37" s="100"/>
      <c r="BC37" s="9"/>
      <c r="BD37" s="9"/>
      <c r="BE37" s="100"/>
      <c r="BF37" s="101"/>
    </row>
    <row r="38" spans="1:58" s="102" customFormat="1" ht="24.95" hidden="1" customHeight="1" x14ac:dyDescent="0.2">
      <c r="A38" s="1158"/>
      <c r="B38" s="96"/>
      <c r="C38" s="1159"/>
      <c r="D38" s="1160"/>
      <c r="E38" s="1160"/>
      <c r="F38" s="1160"/>
      <c r="G38" s="1160"/>
      <c r="H38" s="1160"/>
      <c r="I38" s="1161"/>
      <c r="J38" s="1161"/>
      <c r="K38" s="1154"/>
      <c r="L38" s="1156"/>
      <c r="M38" s="1154"/>
      <c r="N38" s="1156"/>
      <c r="O38" s="1156"/>
      <c r="P38" s="1148"/>
      <c r="Q38" s="1148"/>
      <c r="R38" s="1148"/>
      <c r="S38" s="1149"/>
      <c r="T38" s="1150"/>
      <c r="U38" s="103" t="s">
        <v>95</v>
      </c>
      <c r="V38" s="104">
        <f>+V63+V88+V127+V143+V195+V256+V302+V324+V358+V397+V440+V474+V538+V617+V651+V670+V712</f>
        <v>83</v>
      </c>
      <c r="W38" s="104">
        <f>+W63+W88+W127+W143+W195+W256+W302+W324+W358+W397+W440+W474+W538+W617+W651+W670+W712</f>
        <v>123</v>
      </c>
      <c r="X38" s="104">
        <f>+X63+X88+X127+X143+X195+X256+X302+X324+X358+X397+X440+X474+X538+X617+X651+X670+X712</f>
        <v>105</v>
      </c>
      <c r="Y38" s="104">
        <f>+Y63+Y88+Y127+Y143+Y195+Y256+Y302+Y324+Y358+Y397+Y440+Y474+Y538+Y617+Y651+Y670+Y712</f>
        <v>149</v>
      </c>
      <c r="Z38" s="104">
        <f t="shared" ref="Z38:AC38" si="1">+V38</f>
        <v>83</v>
      </c>
      <c r="AA38" s="104">
        <f t="shared" si="1"/>
        <v>123</v>
      </c>
      <c r="AB38" s="104">
        <f t="shared" si="1"/>
        <v>105</v>
      </c>
      <c r="AC38" s="104">
        <f t="shared" si="1"/>
        <v>149</v>
      </c>
      <c r="AD38" s="1152"/>
      <c r="AE38" s="1146"/>
      <c r="AF38" s="1146"/>
      <c r="AG38" s="1146"/>
      <c r="AH38" s="1143"/>
      <c r="AI38" s="1143"/>
      <c r="AJ38" s="1143"/>
      <c r="AK38" s="1143"/>
      <c r="AL38" s="1143"/>
      <c r="AM38" s="1143"/>
      <c r="AN38" s="1143"/>
      <c r="AO38" s="1143"/>
      <c r="AP38" s="1143"/>
      <c r="AQ38" s="1143"/>
      <c r="AR38" s="1143"/>
      <c r="AS38" s="1143"/>
      <c r="AT38" s="100"/>
      <c r="AU38" s="100"/>
      <c r="AV38" s="100"/>
      <c r="AW38" s="100"/>
      <c r="AX38" s="100"/>
      <c r="AY38" s="100"/>
      <c r="AZ38" s="100"/>
      <c r="BA38" s="100"/>
      <c r="BB38" s="100"/>
      <c r="BC38" s="9"/>
      <c r="BD38" s="9"/>
      <c r="BE38" s="100"/>
      <c r="BF38" s="101"/>
    </row>
    <row r="39" spans="1:58" s="102" customFormat="1" ht="24.95" hidden="1" customHeight="1" x14ac:dyDescent="0.2">
      <c r="A39" s="1158"/>
      <c r="B39" s="96"/>
      <c r="C39" s="1159"/>
      <c r="D39" s="1160"/>
      <c r="E39" s="1160"/>
      <c r="F39" s="1160"/>
      <c r="G39" s="1160"/>
      <c r="H39" s="1160"/>
      <c r="I39" s="1161"/>
      <c r="J39" s="1161"/>
      <c r="K39" s="1154"/>
      <c r="L39" s="1157"/>
      <c r="M39" s="1154"/>
      <c r="N39" s="1157"/>
      <c r="O39" s="1157"/>
      <c r="P39" s="1148"/>
      <c r="Q39" s="1148"/>
      <c r="R39" s="1148"/>
      <c r="S39" s="1149"/>
      <c r="T39" s="1150"/>
      <c r="U39" s="105" t="s">
        <v>96</v>
      </c>
      <c r="V39" s="106">
        <f>IF((V37/V38)&lt;$I$8,(V37/V38),IF((V37/V38)&lt;$J$8,(V37/V38),IF((V37/V38)&lt;$J$9,(V37/V38),IF((V37/V38)&gt;=$J$9,$J$9))))</f>
        <v>0.28915662650602408</v>
      </c>
      <c r="W39" s="106">
        <f t="shared" ref="W39:AC39" si="2">IF((W37/W38)&lt;$I$8,(W37/W38),IF((W37/W38)&lt;$J$8,(W37/W38),IF((W37/W38)&lt;$J$9,(W37/W38),IF((W37/W38)&gt;=$J$9,$J$9))))</f>
        <v>0.34146341463414637</v>
      </c>
      <c r="X39" s="106">
        <f t="shared" si="2"/>
        <v>9.5238095238095247E-3</v>
      </c>
      <c r="Y39" s="106">
        <f t="shared" si="2"/>
        <v>0</v>
      </c>
      <c r="Z39" s="106">
        <f t="shared" si="2"/>
        <v>0.28915662650602408</v>
      </c>
      <c r="AA39" s="106">
        <f t="shared" si="2"/>
        <v>0.34146341463414637</v>
      </c>
      <c r="AB39" s="106">
        <f t="shared" si="2"/>
        <v>9.5238095238095247E-3</v>
      </c>
      <c r="AC39" s="106">
        <f t="shared" si="2"/>
        <v>0</v>
      </c>
      <c r="AD39" s="1153"/>
      <c r="AE39" s="1147"/>
      <c r="AF39" s="1147"/>
      <c r="AG39" s="1147"/>
      <c r="AH39" s="1143"/>
      <c r="AI39" s="1143"/>
      <c r="AJ39" s="1143"/>
      <c r="AK39" s="1143"/>
      <c r="AL39" s="1143"/>
      <c r="AM39" s="1143"/>
      <c r="AN39" s="1143"/>
      <c r="AO39" s="1143"/>
      <c r="AP39" s="1143"/>
      <c r="AQ39" s="1143"/>
      <c r="AR39" s="1143"/>
      <c r="AS39" s="1143"/>
      <c r="AT39" s="100"/>
      <c r="AU39" s="100"/>
      <c r="AV39" s="100"/>
      <c r="AW39" s="100"/>
      <c r="AX39" s="100"/>
      <c r="AY39" s="100"/>
      <c r="AZ39" s="100"/>
      <c r="BA39" s="100"/>
      <c r="BB39" s="100"/>
      <c r="BC39" s="9"/>
      <c r="BD39" s="9"/>
      <c r="BE39" s="100"/>
      <c r="BF39" s="101"/>
    </row>
    <row r="40" spans="1:58" s="102" customFormat="1" ht="24.95" hidden="1" customHeight="1" x14ac:dyDescent="0.2">
      <c r="A40" s="1158"/>
      <c r="B40" s="96"/>
      <c r="C40" s="1159"/>
      <c r="D40" s="1160"/>
      <c r="E40" s="1160"/>
      <c r="F40" s="1160"/>
      <c r="G40" s="1160"/>
      <c r="H40" s="1160"/>
      <c r="I40" s="1161" t="s">
        <v>97</v>
      </c>
      <c r="J40" s="1161"/>
      <c r="K40" s="1154" t="s">
        <v>98</v>
      </c>
      <c r="L40" s="1155" t="s">
        <v>99</v>
      </c>
      <c r="M40" s="1154" t="str">
        <f>CONCATENATE(U40,$U$32,U41)</f>
        <v>No. de metas cumplidas en el periodo /  No. de metas programadas en el periodo</v>
      </c>
      <c r="N40" s="1155" t="s">
        <v>88</v>
      </c>
      <c r="O40" s="1155" t="s">
        <v>89</v>
      </c>
      <c r="P40" s="1148" t="s">
        <v>90</v>
      </c>
      <c r="Q40" s="1148">
        <v>0.74</v>
      </c>
      <c r="R40" s="1148">
        <v>1</v>
      </c>
      <c r="S40" s="1149">
        <v>0.85</v>
      </c>
      <c r="T40" s="1150" t="s">
        <v>91</v>
      </c>
      <c r="U40" s="97" t="s">
        <v>100</v>
      </c>
      <c r="V40" s="98">
        <f>+V68+V93+V132+V148+V200+V261+V307+V329+V363+V402+V445+V479+V543+V622+V656+V675+V717</f>
        <v>60</v>
      </c>
      <c r="W40" s="98">
        <f>+W68+W93+W132+W148+W200+W261+W307+W329+W363+W402+W445+W479+W543+W622+W656+W675+W717</f>
        <v>91</v>
      </c>
      <c r="X40" s="98">
        <f>+X68+X93+X132+X148+X200+X261+X307+X329+X363+X402+X445+X479+X543+X622+X656+X675+X717</f>
        <v>1</v>
      </c>
      <c r="Y40" s="98">
        <f>+Y68+Y93+Y132+Y148+Y200+Y261+Y307+Y329+Y363+Y402+Y445+Y479+Y543+Y622+Y656+Y675+Y717</f>
        <v>0</v>
      </c>
      <c r="Z40" s="99">
        <f>+V40</f>
        <v>60</v>
      </c>
      <c r="AA40" s="99">
        <f>+W40</f>
        <v>91</v>
      </c>
      <c r="AB40" s="99">
        <f>+X40</f>
        <v>1</v>
      </c>
      <c r="AC40" s="99">
        <f>+Y40</f>
        <v>0</v>
      </c>
      <c r="AD40" s="1151">
        <f>+AE40+AF40+AG40</f>
        <v>0</v>
      </c>
      <c r="AE40" s="1145">
        <v>0</v>
      </c>
      <c r="AF40" s="1145">
        <v>0</v>
      </c>
      <c r="AG40" s="1145">
        <v>0</v>
      </c>
      <c r="AH40" s="1143" t="s">
        <v>93</v>
      </c>
      <c r="AI40" s="1143" t="s">
        <v>93</v>
      </c>
      <c r="AJ40" s="1143" t="s">
        <v>94</v>
      </c>
      <c r="AK40" s="1143"/>
      <c r="AL40" s="1143"/>
      <c r="AM40" s="1143"/>
      <c r="AN40" s="1143"/>
      <c r="AO40" s="1143" t="s">
        <v>94</v>
      </c>
      <c r="AP40" s="1143"/>
      <c r="AQ40" s="1143"/>
      <c r="AR40" s="1143"/>
      <c r="AS40" s="1143" t="s">
        <v>94</v>
      </c>
      <c r="AT40" s="100"/>
      <c r="AU40" s="100"/>
      <c r="AV40" s="100"/>
      <c r="AW40" s="100"/>
      <c r="AX40" s="100"/>
      <c r="AY40" s="100"/>
      <c r="AZ40" s="100"/>
      <c r="BA40" s="100"/>
      <c r="BB40" s="100"/>
      <c r="BC40" s="9"/>
      <c r="BD40" s="9"/>
      <c r="BE40" s="100"/>
      <c r="BF40" s="101"/>
    </row>
    <row r="41" spans="1:58" s="102" customFormat="1" ht="24.95" hidden="1" customHeight="1" x14ac:dyDescent="0.2">
      <c r="A41" s="1158"/>
      <c r="B41" s="96"/>
      <c r="C41" s="1159"/>
      <c r="D41" s="1160"/>
      <c r="E41" s="1160"/>
      <c r="F41" s="1160"/>
      <c r="G41" s="1160"/>
      <c r="H41" s="1160"/>
      <c r="I41" s="1161"/>
      <c r="J41" s="1161"/>
      <c r="K41" s="1154"/>
      <c r="L41" s="1156"/>
      <c r="M41" s="1154"/>
      <c r="N41" s="1156"/>
      <c r="O41" s="1156"/>
      <c r="P41" s="1148"/>
      <c r="Q41" s="1148"/>
      <c r="R41" s="1148"/>
      <c r="S41" s="1149"/>
      <c r="T41" s="1150"/>
      <c r="U41" s="103" t="s">
        <v>101</v>
      </c>
      <c r="V41" s="104">
        <f>+V38</f>
        <v>83</v>
      </c>
      <c r="W41" s="104">
        <f t="shared" ref="W41:Y41" si="3">+W38</f>
        <v>123</v>
      </c>
      <c r="X41" s="104">
        <f t="shared" si="3"/>
        <v>105</v>
      </c>
      <c r="Y41" s="104">
        <f t="shared" si="3"/>
        <v>149</v>
      </c>
      <c r="Z41" s="104">
        <f t="shared" ref="Z41:AC41" si="4">+V41</f>
        <v>83</v>
      </c>
      <c r="AA41" s="104">
        <f t="shared" si="4"/>
        <v>123</v>
      </c>
      <c r="AB41" s="104">
        <f t="shared" si="4"/>
        <v>105</v>
      </c>
      <c r="AC41" s="104">
        <f t="shared" si="4"/>
        <v>149</v>
      </c>
      <c r="AD41" s="1152"/>
      <c r="AE41" s="1146"/>
      <c r="AF41" s="1146"/>
      <c r="AG41" s="1146"/>
      <c r="AH41" s="1143"/>
      <c r="AI41" s="1143"/>
      <c r="AJ41" s="1143"/>
      <c r="AK41" s="1143"/>
      <c r="AL41" s="1143"/>
      <c r="AM41" s="1143"/>
      <c r="AN41" s="1143"/>
      <c r="AO41" s="1143"/>
      <c r="AP41" s="1143"/>
      <c r="AQ41" s="1143"/>
      <c r="AR41" s="1143"/>
      <c r="AS41" s="1143"/>
      <c r="AT41" s="100"/>
      <c r="AU41" s="100"/>
      <c r="AV41" s="100"/>
      <c r="AW41" s="100"/>
      <c r="AX41" s="100"/>
      <c r="AY41" s="100"/>
      <c r="AZ41" s="100"/>
      <c r="BA41" s="100"/>
      <c r="BB41" s="100"/>
      <c r="BC41" s="9"/>
      <c r="BD41" s="9"/>
      <c r="BE41" s="100"/>
      <c r="BF41" s="101"/>
    </row>
    <row r="42" spans="1:58" s="102" customFormat="1" ht="24.95" hidden="1" customHeight="1" x14ac:dyDescent="0.2">
      <c r="A42" s="1158"/>
      <c r="B42" s="96"/>
      <c r="C42" s="1159"/>
      <c r="D42" s="1160"/>
      <c r="E42" s="1160"/>
      <c r="F42" s="1160"/>
      <c r="G42" s="1160"/>
      <c r="H42" s="1160"/>
      <c r="I42" s="1161"/>
      <c r="J42" s="1161"/>
      <c r="K42" s="1154"/>
      <c r="L42" s="1157"/>
      <c r="M42" s="1154"/>
      <c r="N42" s="1157"/>
      <c r="O42" s="1157"/>
      <c r="P42" s="1148"/>
      <c r="Q42" s="1148"/>
      <c r="R42" s="1148"/>
      <c r="S42" s="1149"/>
      <c r="T42" s="1150"/>
      <c r="U42" s="105" t="s">
        <v>96</v>
      </c>
      <c r="V42" s="106">
        <f t="shared" ref="V42:AC42" si="5">IF((V40/V41)&lt;$I$8,(V40/V41),IF((V40/V41)&lt;$J$8,(V40/V41),IF((V40/V41)&lt;$J$9,(V40/V41),IF((V40/V41)&gt;=$J$9,$J$9))))</f>
        <v>0.72289156626506024</v>
      </c>
      <c r="W42" s="106">
        <f t="shared" si="5"/>
        <v>0.73983739837398377</v>
      </c>
      <c r="X42" s="106">
        <f t="shared" si="5"/>
        <v>9.5238095238095247E-3</v>
      </c>
      <c r="Y42" s="106">
        <f t="shared" si="5"/>
        <v>0</v>
      </c>
      <c r="Z42" s="106">
        <f t="shared" si="5"/>
        <v>0.72289156626506024</v>
      </c>
      <c r="AA42" s="106">
        <f t="shared" si="5"/>
        <v>0.73983739837398377</v>
      </c>
      <c r="AB42" s="106">
        <f t="shared" si="5"/>
        <v>9.5238095238095247E-3</v>
      </c>
      <c r="AC42" s="106">
        <f t="shared" si="5"/>
        <v>0</v>
      </c>
      <c r="AD42" s="1153"/>
      <c r="AE42" s="1147"/>
      <c r="AF42" s="1147"/>
      <c r="AG42" s="1147"/>
      <c r="AH42" s="1143"/>
      <c r="AI42" s="1143"/>
      <c r="AJ42" s="1143"/>
      <c r="AK42" s="1143"/>
      <c r="AL42" s="1143"/>
      <c r="AM42" s="1143"/>
      <c r="AN42" s="1143"/>
      <c r="AO42" s="1143"/>
      <c r="AP42" s="1143"/>
      <c r="AQ42" s="1143"/>
      <c r="AR42" s="1143"/>
      <c r="AS42" s="1143"/>
      <c r="AT42" s="100"/>
      <c r="AU42" s="100"/>
      <c r="AV42" s="100"/>
      <c r="AW42" s="100"/>
      <c r="AX42" s="100"/>
      <c r="AY42" s="100"/>
      <c r="AZ42" s="100"/>
      <c r="BA42" s="100"/>
      <c r="BB42" s="100"/>
      <c r="BC42" s="9"/>
      <c r="BD42" s="9"/>
      <c r="BE42" s="100"/>
      <c r="BF42" s="101"/>
    </row>
    <row r="43" spans="1:58" ht="12.75" hidden="1" x14ac:dyDescent="0.25">
      <c r="A43" s="79"/>
      <c r="B43" s="80"/>
      <c r="C43" s="107"/>
      <c r="D43" s="108"/>
      <c r="E43" s="108"/>
      <c r="F43" s="46"/>
      <c r="G43" s="46"/>
      <c r="H43" s="46"/>
      <c r="I43" s="46"/>
      <c r="J43" s="83"/>
      <c r="K43" s="46"/>
      <c r="L43" s="46"/>
      <c r="M43" s="46"/>
      <c r="N43" s="46"/>
      <c r="O43" s="46"/>
      <c r="P43" s="46"/>
      <c r="Q43" s="46"/>
      <c r="R43" s="46"/>
      <c r="S43" s="46"/>
      <c r="T43" s="46"/>
      <c r="U43" s="42"/>
      <c r="V43" s="43"/>
      <c r="W43" s="43"/>
      <c r="X43" s="43"/>
      <c r="Y43" s="43"/>
      <c r="Z43" s="46"/>
      <c r="AA43" s="46"/>
      <c r="AB43" s="46"/>
      <c r="AC43" s="46"/>
      <c r="AD43" s="47"/>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9"/>
    </row>
    <row r="44" spans="1:58" ht="12.75" hidden="1" x14ac:dyDescent="0.25">
      <c r="A44" s="79"/>
      <c r="B44" s="80"/>
      <c r="C44" s="107"/>
      <c r="D44" s="108"/>
      <c r="E44" s="108"/>
      <c r="F44" s="46"/>
      <c r="G44" s="46"/>
      <c r="H44" s="46"/>
      <c r="I44" s="46"/>
      <c r="J44" s="83"/>
      <c r="K44" s="46"/>
      <c r="L44" s="46"/>
      <c r="M44" s="46"/>
      <c r="N44" s="46"/>
      <c r="O44" s="46"/>
      <c r="P44" s="46"/>
      <c r="Q44" s="46"/>
      <c r="R44" s="46"/>
      <c r="S44" s="46"/>
      <c r="T44" s="46"/>
      <c r="U44" s="42"/>
      <c r="V44" s="43"/>
      <c r="W44" s="43"/>
      <c r="X44" s="43"/>
      <c r="Y44" s="43"/>
      <c r="Z44" s="46"/>
      <c r="AA44" s="46"/>
      <c r="AB44" s="46"/>
      <c r="AC44" s="46"/>
      <c r="AD44" s="47"/>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9"/>
    </row>
    <row r="45" spans="1:58" ht="24.95" customHeight="1" x14ac:dyDescent="0.25">
      <c r="A45" s="79"/>
      <c r="B45" s="80"/>
      <c r="C45" s="85"/>
      <c r="D45" s="1144" t="s">
        <v>10</v>
      </c>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564" t="s">
        <v>102</v>
      </c>
      <c r="AU45" s="564"/>
      <c r="AV45" s="564"/>
      <c r="AW45" s="564"/>
      <c r="AX45" s="564"/>
      <c r="AY45" s="564"/>
      <c r="AZ45" s="564"/>
      <c r="BA45" s="564"/>
      <c r="BB45" s="564"/>
      <c r="BC45" s="564"/>
      <c r="BD45" s="564"/>
      <c r="BE45" s="48"/>
      <c r="BF45" s="49"/>
    </row>
    <row r="46" spans="1:58" ht="20.100000000000001" customHeight="1" x14ac:dyDescent="0.25">
      <c r="A46" s="79"/>
      <c r="B46" s="80"/>
      <c r="C46" s="85"/>
      <c r="D46" s="1136" t="s">
        <v>14</v>
      </c>
      <c r="E46" s="1136"/>
      <c r="F46" s="1136"/>
      <c r="G46" s="1136"/>
      <c r="H46" s="1136"/>
      <c r="I46" s="1136"/>
      <c r="J46" s="1136"/>
      <c r="K46" s="1136"/>
      <c r="L46" s="1136"/>
      <c r="M46" s="1136"/>
      <c r="N46" s="1136"/>
      <c r="O46" s="1136"/>
      <c r="P46" s="1136"/>
      <c r="Q46" s="1136"/>
      <c r="R46" s="1136"/>
      <c r="S46" s="1136"/>
      <c r="T46" s="1136"/>
      <c r="U46" s="1136"/>
      <c r="V46" s="1136"/>
      <c r="W46" s="1136"/>
      <c r="X46" s="1136"/>
      <c r="Y46" s="1136"/>
      <c r="Z46" s="1136"/>
      <c r="AA46" s="1136"/>
      <c r="AB46" s="1136"/>
      <c r="AC46" s="1136"/>
      <c r="AD46" s="1136"/>
      <c r="AE46" s="1136"/>
      <c r="AF46" s="1136"/>
      <c r="AG46" s="1136"/>
      <c r="AH46" s="1136"/>
      <c r="AI46" s="1136"/>
      <c r="AJ46" s="1136"/>
      <c r="AK46" s="1136"/>
      <c r="AL46" s="1136"/>
      <c r="AM46" s="1136"/>
      <c r="AN46" s="1136"/>
      <c r="AO46" s="1136"/>
      <c r="AP46" s="1136"/>
      <c r="AQ46" s="1136"/>
      <c r="AR46" s="1136"/>
      <c r="AS46" s="1136"/>
      <c r="AT46" s="561" t="s">
        <v>104</v>
      </c>
      <c r="AU46" s="563"/>
      <c r="AV46" s="563"/>
      <c r="AW46" s="563"/>
      <c r="AX46" s="563"/>
      <c r="AY46" s="563"/>
      <c r="AZ46" s="563"/>
      <c r="BA46" s="563"/>
      <c r="BB46" s="562"/>
      <c r="BC46" s="561" t="s">
        <v>105</v>
      </c>
      <c r="BD46" s="562"/>
      <c r="BE46" s="48"/>
      <c r="BF46" s="49"/>
    </row>
    <row r="47" spans="1:58" ht="15" customHeight="1" x14ac:dyDescent="0.25">
      <c r="A47" s="79"/>
      <c r="B47" s="80"/>
      <c r="C47" s="85"/>
      <c r="D47" s="691" t="s">
        <v>106</v>
      </c>
      <c r="E47" s="691" t="s">
        <v>107</v>
      </c>
      <c r="F47" s="711" t="s">
        <v>108</v>
      </c>
      <c r="G47" s="691" t="s">
        <v>109</v>
      </c>
      <c r="H47" s="711" t="s">
        <v>110</v>
      </c>
      <c r="I47" s="691" t="s">
        <v>51</v>
      </c>
      <c r="J47" s="712" t="s">
        <v>111</v>
      </c>
      <c r="K47" s="691" t="s">
        <v>52</v>
      </c>
      <c r="L47" s="691"/>
      <c r="M47" s="691"/>
      <c r="N47" s="691" t="s">
        <v>53</v>
      </c>
      <c r="O47" s="691" t="s">
        <v>54</v>
      </c>
      <c r="P47" s="703" t="s">
        <v>55</v>
      </c>
      <c r="Q47" s="703" t="s">
        <v>56</v>
      </c>
      <c r="R47" s="703" t="s">
        <v>57</v>
      </c>
      <c r="S47" s="703" t="s">
        <v>58</v>
      </c>
      <c r="T47" s="703" t="s">
        <v>59</v>
      </c>
      <c r="U47" s="691" t="s">
        <v>60</v>
      </c>
      <c r="V47" s="691"/>
      <c r="W47" s="691"/>
      <c r="X47" s="691"/>
      <c r="Y47" s="691"/>
      <c r="Z47" s="691" t="s">
        <v>61</v>
      </c>
      <c r="AA47" s="691"/>
      <c r="AB47" s="691"/>
      <c r="AC47" s="691"/>
      <c r="AD47" s="691" t="s">
        <v>62</v>
      </c>
      <c r="AE47" s="691"/>
      <c r="AF47" s="691"/>
      <c r="AG47" s="691" t="s">
        <v>63</v>
      </c>
      <c r="AH47" s="691" t="s">
        <v>64</v>
      </c>
      <c r="AI47" s="691" t="s">
        <v>65</v>
      </c>
      <c r="AJ47" s="691" t="s">
        <v>66</v>
      </c>
      <c r="AK47" s="691"/>
      <c r="AL47" s="691"/>
      <c r="AM47" s="691"/>
      <c r="AN47" s="691"/>
      <c r="AO47" s="691"/>
      <c r="AP47" s="691"/>
      <c r="AQ47" s="691"/>
      <c r="AR47" s="691"/>
      <c r="AS47" s="691"/>
      <c r="AT47" s="558" t="s">
        <v>60</v>
      </c>
      <c r="AU47" s="569" t="s">
        <v>112</v>
      </c>
      <c r="AV47" s="570"/>
      <c r="AW47" s="570"/>
      <c r="AX47" s="571"/>
      <c r="AY47" s="569" t="s">
        <v>113</v>
      </c>
      <c r="AZ47" s="570"/>
      <c r="BA47" s="570"/>
      <c r="BB47" s="571"/>
      <c r="BC47" s="584" t="s">
        <v>114</v>
      </c>
      <c r="BD47" s="587" t="s">
        <v>102</v>
      </c>
      <c r="BE47" s="48"/>
      <c r="BF47" s="49"/>
    </row>
    <row r="48" spans="1:58" ht="15" customHeight="1" x14ac:dyDescent="0.25">
      <c r="A48" s="79"/>
      <c r="B48" s="80"/>
      <c r="C48" s="85"/>
      <c r="D48" s="691"/>
      <c r="E48" s="691"/>
      <c r="F48" s="711"/>
      <c r="G48" s="691"/>
      <c r="H48" s="711"/>
      <c r="I48" s="691"/>
      <c r="J48" s="712"/>
      <c r="K48" s="691"/>
      <c r="L48" s="691"/>
      <c r="M48" s="691"/>
      <c r="N48" s="691"/>
      <c r="O48" s="691"/>
      <c r="P48" s="703"/>
      <c r="Q48" s="703"/>
      <c r="R48" s="703"/>
      <c r="S48" s="703"/>
      <c r="T48" s="703"/>
      <c r="U48" s="691" t="s">
        <v>67</v>
      </c>
      <c r="V48" s="691"/>
      <c r="W48" s="691"/>
      <c r="X48" s="691"/>
      <c r="Y48" s="691"/>
      <c r="Z48" s="691" t="s">
        <v>67</v>
      </c>
      <c r="AA48" s="691"/>
      <c r="AB48" s="691"/>
      <c r="AC48" s="691"/>
      <c r="AD48" s="691" t="s">
        <v>68</v>
      </c>
      <c r="AE48" s="691" t="s">
        <v>69</v>
      </c>
      <c r="AF48" s="691" t="s">
        <v>70</v>
      </c>
      <c r="AG48" s="691"/>
      <c r="AH48" s="691"/>
      <c r="AI48" s="691"/>
      <c r="AJ48" s="691"/>
      <c r="AK48" s="691"/>
      <c r="AL48" s="691"/>
      <c r="AM48" s="691"/>
      <c r="AN48" s="691"/>
      <c r="AO48" s="691"/>
      <c r="AP48" s="691"/>
      <c r="AQ48" s="691"/>
      <c r="AR48" s="691"/>
      <c r="AS48" s="691"/>
      <c r="AT48" s="559"/>
      <c r="AU48" s="572"/>
      <c r="AV48" s="573"/>
      <c r="AW48" s="573"/>
      <c r="AX48" s="574"/>
      <c r="AY48" s="572"/>
      <c r="AZ48" s="573"/>
      <c r="BA48" s="573"/>
      <c r="BB48" s="574"/>
      <c r="BC48" s="585"/>
      <c r="BD48" s="588"/>
      <c r="BE48" s="48"/>
      <c r="BF48" s="49"/>
    </row>
    <row r="49" spans="1:62" s="95" customFormat="1" ht="24" customHeight="1" thickBot="1" x14ac:dyDescent="0.3">
      <c r="A49" s="86"/>
      <c r="B49" s="87"/>
      <c r="C49" s="88"/>
      <c r="D49" s="691"/>
      <c r="E49" s="691"/>
      <c r="F49" s="711"/>
      <c r="G49" s="691"/>
      <c r="H49" s="711"/>
      <c r="I49" s="691"/>
      <c r="J49" s="712"/>
      <c r="K49" s="89" t="s">
        <v>71</v>
      </c>
      <c r="L49" s="89" t="s">
        <v>115</v>
      </c>
      <c r="M49" s="89" t="s">
        <v>72</v>
      </c>
      <c r="N49" s="691"/>
      <c r="O49" s="691"/>
      <c r="P49" s="703"/>
      <c r="Q49" s="703"/>
      <c r="R49" s="703"/>
      <c r="S49" s="703"/>
      <c r="T49" s="703"/>
      <c r="U49" s="90" t="s">
        <v>73</v>
      </c>
      <c r="V49" s="89">
        <v>1</v>
      </c>
      <c r="W49" s="91">
        <v>2</v>
      </c>
      <c r="X49" s="91">
        <v>3</v>
      </c>
      <c r="Y49" s="110">
        <v>4</v>
      </c>
      <c r="Z49" s="89">
        <v>1</v>
      </c>
      <c r="AA49" s="91">
        <v>2</v>
      </c>
      <c r="AB49" s="91">
        <v>3</v>
      </c>
      <c r="AC49" s="91">
        <v>4</v>
      </c>
      <c r="AD49" s="691"/>
      <c r="AE49" s="691"/>
      <c r="AF49" s="691"/>
      <c r="AG49" s="691"/>
      <c r="AH49" s="691"/>
      <c r="AI49" s="691"/>
      <c r="AJ49" s="89" t="s">
        <v>74</v>
      </c>
      <c r="AK49" s="91" t="s">
        <v>75</v>
      </c>
      <c r="AL49" s="91" t="s">
        <v>76</v>
      </c>
      <c r="AM49" s="91" t="s">
        <v>77</v>
      </c>
      <c r="AN49" s="92" t="s">
        <v>78</v>
      </c>
      <c r="AO49" s="92" t="s">
        <v>79</v>
      </c>
      <c r="AP49" s="92" t="s">
        <v>80</v>
      </c>
      <c r="AQ49" s="92" t="s">
        <v>81</v>
      </c>
      <c r="AR49" s="93" t="s">
        <v>82</v>
      </c>
      <c r="AS49" s="93" t="s">
        <v>83</v>
      </c>
      <c r="AT49" s="560"/>
      <c r="AU49" s="111" t="s">
        <v>116</v>
      </c>
      <c r="AV49" s="111" t="s">
        <v>117</v>
      </c>
      <c r="AW49" s="111" t="s">
        <v>118</v>
      </c>
      <c r="AX49" s="111" t="s">
        <v>119</v>
      </c>
      <c r="AY49" s="111" t="s">
        <v>116</v>
      </c>
      <c r="AZ49" s="111" t="s">
        <v>117</v>
      </c>
      <c r="BA49" s="111" t="s">
        <v>118</v>
      </c>
      <c r="BB49" s="111" t="s">
        <v>119</v>
      </c>
      <c r="BC49" s="586"/>
      <c r="BD49" s="589"/>
      <c r="BE49" s="48"/>
      <c r="BF49" s="49"/>
    </row>
    <row r="50" spans="1:62" s="120" customFormat="1" ht="24.95" customHeight="1" x14ac:dyDescent="0.25">
      <c r="A50" s="675"/>
      <c r="B50" s="664"/>
      <c r="C50" s="665">
        <v>1</v>
      </c>
      <c r="D50" s="1116" t="s">
        <v>14</v>
      </c>
      <c r="E50" s="754" t="s">
        <v>120</v>
      </c>
      <c r="F50" s="654">
        <v>0.65</v>
      </c>
      <c r="G50" s="654" t="s">
        <v>121</v>
      </c>
      <c r="H50" s="654">
        <v>0.6</v>
      </c>
      <c r="I50" s="552" t="s">
        <v>122</v>
      </c>
      <c r="J50" s="654">
        <v>1</v>
      </c>
      <c r="K50" s="552" t="s">
        <v>123</v>
      </c>
      <c r="L50" s="678" t="s">
        <v>124</v>
      </c>
      <c r="M50" s="667" t="str">
        <f t="shared" ref="M50" si="6">CONCATENATE(U50,$U$32,U51)</f>
        <v>Seguimiento realizado a la ejecución de cada proyectos / Seguimientos programados en la vigencia por proyecto</v>
      </c>
      <c r="N50" s="661" t="s">
        <v>125</v>
      </c>
      <c r="O50" s="661" t="s">
        <v>126</v>
      </c>
      <c r="P50" s="657">
        <v>0.2</v>
      </c>
      <c r="Q50" s="657">
        <v>1</v>
      </c>
      <c r="R50" s="657">
        <v>1</v>
      </c>
      <c r="S50" s="666">
        <v>1</v>
      </c>
      <c r="T50" s="1137" t="s">
        <v>91</v>
      </c>
      <c r="U50" s="112" t="s">
        <v>127</v>
      </c>
      <c r="V50" s="113"/>
      <c r="W50" s="113"/>
      <c r="X50" s="113"/>
      <c r="Y50" s="113"/>
      <c r="Z50" s="114"/>
      <c r="AA50" s="114"/>
      <c r="AB50" s="114"/>
      <c r="AC50" s="114"/>
      <c r="AD50" s="648">
        <f>AE50+AF50+AG50</f>
        <v>0</v>
      </c>
      <c r="AE50" s="651">
        <v>0</v>
      </c>
      <c r="AF50" s="651">
        <v>0</v>
      </c>
      <c r="AG50" s="651">
        <v>0</v>
      </c>
      <c r="AH50" s="672" t="s">
        <v>128</v>
      </c>
      <c r="AI50" s="672" t="s">
        <v>128</v>
      </c>
      <c r="AJ50" s="651" t="s">
        <v>94</v>
      </c>
      <c r="AK50" s="651"/>
      <c r="AL50" s="651"/>
      <c r="AM50" s="651"/>
      <c r="AN50" s="651" t="s">
        <v>94</v>
      </c>
      <c r="AO50" s="648"/>
      <c r="AP50" s="648"/>
      <c r="AQ50" s="651" t="s">
        <v>94</v>
      </c>
      <c r="AR50" s="651"/>
      <c r="AS50" s="648"/>
      <c r="AT50" s="115" t="s">
        <v>129</v>
      </c>
      <c r="AU50" s="116">
        <f t="shared" ref="AU50:BB50" si="7">+V52*$J$50</f>
        <v>0</v>
      </c>
      <c r="AV50" s="116">
        <f t="shared" si="7"/>
        <v>0</v>
      </c>
      <c r="AW50" s="116">
        <f t="shared" si="7"/>
        <v>0</v>
      </c>
      <c r="AX50" s="116">
        <f t="shared" si="7"/>
        <v>0</v>
      </c>
      <c r="AY50" s="116">
        <f t="shared" si="7"/>
        <v>0</v>
      </c>
      <c r="AZ50" s="116">
        <f t="shared" si="7"/>
        <v>0</v>
      </c>
      <c r="BA50" s="116">
        <f t="shared" si="7"/>
        <v>0</v>
      </c>
      <c r="BB50" s="116">
        <f t="shared" si="7"/>
        <v>0</v>
      </c>
      <c r="BC50" s="1140">
        <f>+BB52+BB61</f>
        <v>0</v>
      </c>
      <c r="BD50" s="1129">
        <f>+BC50</f>
        <v>0</v>
      </c>
      <c r="BE50" s="117"/>
      <c r="BF50" s="118"/>
      <c r="BG50" s="119"/>
      <c r="BH50" s="119"/>
      <c r="BI50" s="119"/>
      <c r="BJ50" s="119"/>
    </row>
    <row r="51" spans="1:62" s="120" customFormat="1" ht="24.95" customHeight="1" thickBot="1" x14ac:dyDescent="0.3">
      <c r="A51" s="675"/>
      <c r="B51" s="664"/>
      <c r="C51" s="665"/>
      <c r="D51" s="1116"/>
      <c r="E51" s="754"/>
      <c r="F51" s="655"/>
      <c r="G51" s="655"/>
      <c r="H51" s="655"/>
      <c r="I51" s="553"/>
      <c r="J51" s="655"/>
      <c r="K51" s="553"/>
      <c r="L51" s="678"/>
      <c r="M51" s="667"/>
      <c r="N51" s="662"/>
      <c r="O51" s="662"/>
      <c r="P51" s="657"/>
      <c r="Q51" s="657"/>
      <c r="R51" s="657"/>
      <c r="S51" s="666"/>
      <c r="T51" s="1138"/>
      <c r="U51" s="121" t="s">
        <v>130</v>
      </c>
      <c r="V51" s="122">
        <v>1</v>
      </c>
      <c r="W51" s="122">
        <v>1</v>
      </c>
      <c r="X51" s="122">
        <v>1</v>
      </c>
      <c r="Y51" s="122">
        <v>1</v>
      </c>
      <c r="Z51" s="122">
        <f>+V51</f>
        <v>1</v>
      </c>
      <c r="AA51" s="122">
        <f>+V51+W51</f>
        <v>2</v>
      </c>
      <c r="AB51" s="122">
        <f>+V51+W51+X51</f>
        <v>3</v>
      </c>
      <c r="AC51" s="122">
        <f>+V51+W51+X51+Y51</f>
        <v>4</v>
      </c>
      <c r="AD51" s="649"/>
      <c r="AE51" s="652"/>
      <c r="AF51" s="652"/>
      <c r="AG51" s="652"/>
      <c r="AH51" s="672"/>
      <c r="AI51" s="672"/>
      <c r="AJ51" s="652"/>
      <c r="AK51" s="652"/>
      <c r="AL51" s="652"/>
      <c r="AM51" s="652"/>
      <c r="AN51" s="652"/>
      <c r="AO51" s="649"/>
      <c r="AP51" s="649"/>
      <c r="AQ51" s="652"/>
      <c r="AR51" s="652"/>
      <c r="AS51" s="649"/>
      <c r="AT51" s="115" t="s">
        <v>131</v>
      </c>
      <c r="AU51" s="123">
        <f>+AU50*$H$50</f>
        <v>0</v>
      </c>
      <c r="AV51" s="123">
        <f t="shared" ref="AV51:BB51" si="8">+AV50*$H$50</f>
        <v>0</v>
      </c>
      <c r="AW51" s="123">
        <f t="shared" si="8"/>
        <v>0</v>
      </c>
      <c r="AX51" s="123">
        <f t="shared" si="8"/>
        <v>0</v>
      </c>
      <c r="AY51" s="123">
        <f t="shared" si="8"/>
        <v>0</v>
      </c>
      <c r="AZ51" s="123">
        <f t="shared" si="8"/>
        <v>0</v>
      </c>
      <c r="BA51" s="123">
        <f t="shared" si="8"/>
        <v>0</v>
      </c>
      <c r="BB51" s="124">
        <f t="shared" si="8"/>
        <v>0</v>
      </c>
      <c r="BC51" s="1141"/>
      <c r="BD51" s="1130"/>
      <c r="BE51" s="117"/>
      <c r="BF51" s="118"/>
      <c r="BG51" s="119"/>
      <c r="BH51" s="119"/>
      <c r="BI51" s="119"/>
      <c r="BJ51" s="119"/>
    </row>
    <row r="52" spans="1:62" s="120" customFormat="1" ht="24.95" customHeight="1" thickBot="1" x14ac:dyDescent="0.3">
      <c r="A52" s="675"/>
      <c r="B52" s="664"/>
      <c r="C52" s="665"/>
      <c r="D52" s="1116"/>
      <c r="E52" s="754"/>
      <c r="F52" s="655"/>
      <c r="G52" s="655"/>
      <c r="H52" s="656"/>
      <c r="I52" s="554"/>
      <c r="J52" s="656"/>
      <c r="K52" s="554"/>
      <c r="L52" s="678"/>
      <c r="M52" s="667"/>
      <c r="N52" s="663"/>
      <c r="O52" s="663"/>
      <c r="P52" s="657"/>
      <c r="Q52" s="657"/>
      <c r="R52" s="657"/>
      <c r="S52" s="666"/>
      <c r="T52" s="1139"/>
      <c r="U52" s="125" t="s">
        <v>96</v>
      </c>
      <c r="V52" s="116">
        <f t="shared" ref="V52:AC52" si="9">IF((V50/V51)&lt;$I$8,(V50/V51),IF((V50/V51)&lt;$J$8,(V50/V51),IF((V50/V51)&lt;$J$9,(V50/V51),IF((V50/V51)&gt;=$J$9,$J$9))))</f>
        <v>0</v>
      </c>
      <c r="W52" s="116">
        <f t="shared" si="9"/>
        <v>0</v>
      </c>
      <c r="X52" s="116">
        <f t="shared" si="9"/>
        <v>0</v>
      </c>
      <c r="Y52" s="116">
        <f t="shared" si="9"/>
        <v>0</v>
      </c>
      <c r="Z52" s="116">
        <f t="shared" si="9"/>
        <v>0</v>
      </c>
      <c r="AA52" s="116">
        <f t="shared" si="9"/>
        <v>0</v>
      </c>
      <c r="AB52" s="116">
        <f t="shared" si="9"/>
        <v>0</v>
      </c>
      <c r="AC52" s="116">
        <f t="shared" si="9"/>
        <v>0</v>
      </c>
      <c r="AD52" s="650"/>
      <c r="AE52" s="653"/>
      <c r="AF52" s="653"/>
      <c r="AG52" s="653"/>
      <c r="AH52" s="672"/>
      <c r="AI52" s="672"/>
      <c r="AJ52" s="653"/>
      <c r="AK52" s="653"/>
      <c r="AL52" s="653"/>
      <c r="AM52" s="653"/>
      <c r="AN52" s="653"/>
      <c r="AO52" s="650"/>
      <c r="AP52" s="650"/>
      <c r="AQ52" s="653"/>
      <c r="AR52" s="653"/>
      <c r="AS52" s="650"/>
      <c r="AT52" s="115" t="s">
        <v>132</v>
      </c>
      <c r="AU52" s="123">
        <f>+(AU51+AU54+AU57)*$F$50</f>
        <v>0</v>
      </c>
      <c r="AV52" s="123">
        <f t="shared" ref="AV52:BB52" si="10">+(AV51+AV54+AV57)*$F$50</f>
        <v>0</v>
      </c>
      <c r="AW52" s="123">
        <f t="shared" si="10"/>
        <v>0</v>
      </c>
      <c r="AX52" s="123">
        <f t="shared" si="10"/>
        <v>0</v>
      </c>
      <c r="AY52" s="123">
        <f t="shared" si="10"/>
        <v>0</v>
      </c>
      <c r="AZ52" s="123">
        <f t="shared" si="10"/>
        <v>0</v>
      </c>
      <c r="BA52" s="126">
        <f t="shared" si="10"/>
        <v>0</v>
      </c>
      <c r="BB52" s="127">
        <f t="shared" si="10"/>
        <v>0</v>
      </c>
      <c r="BC52" s="1141"/>
      <c r="BD52" s="1130"/>
      <c r="BE52" s="117"/>
      <c r="BF52" s="118"/>
      <c r="BG52" s="119"/>
      <c r="BH52" s="119"/>
      <c r="BI52" s="119"/>
      <c r="BJ52" s="119"/>
    </row>
    <row r="53" spans="1:62" s="120" customFormat="1" ht="24.95" customHeight="1" x14ac:dyDescent="0.25">
      <c r="A53" s="128"/>
      <c r="B53" s="664"/>
      <c r="C53" s="673">
        <v>2</v>
      </c>
      <c r="D53" s="1116"/>
      <c r="E53" s="754"/>
      <c r="F53" s="655"/>
      <c r="G53" s="655"/>
      <c r="H53" s="654">
        <v>0.2</v>
      </c>
      <c r="I53" s="552" t="s">
        <v>133</v>
      </c>
      <c r="J53" s="654">
        <v>1</v>
      </c>
      <c r="K53" s="552" t="s">
        <v>134</v>
      </c>
      <c r="L53" s="678" t="s">
        <v>135</v>
      </c>
      <c r="M53" s="667" t="str">
        <f t="shared" ref="M53" si="11">CONCATENATE(U53,$U$32,U54)</f>
        <v>Proyectos  con formulación y documentación aprobada / Proyectos de la ANM programdos para formular y documentar</v>
      </c>
      <c r="N53" s="661" t="s">
        <v>136</v>
      </c>
      <c r="O53" s="661" t="s">
        <v>89</v>
      </c>
      <c r="P53" s="657">
        <v>0.15</v>
      </c>
      <c r="Q53" s="657">
        <v>0.8</v>
      </c>
      <c r="R53" s="657">
        <v>1</v>
      </c>
      <c r="S53" s="666">
        <v>1</v>
      </c>
      <c r="T53" s="1137" t="s">
        <v>91</v>
      </c>
      <c r="U53" s="112" t="s">
        <v>137</v>
      </c>
      <c r="V53" s="129"/>
      <c r="W53" s="129"/>
      <c r="X53" s="129"/>
      <c r="Y53" s="129"/>
      <c r="Z53" s="130"/>
      <c r="AA53" s="130"/>
      <c r="AB53" s="130"/>
      <c r="AC53" s="130"/>
      <c r="AD53" s="648">
        <f>AE53+AF53+AG53</f>
        <v>0</v>
      </c>
      <c r="AE53" s="651">
        <v>0</v>
      </c>
      <c r="AF53" s="651">
        <v>0</v>
      </c>
      <c r="AG53" s="651">
        <v>0</v>
      </c>
      <c r="AH53" s="672" t="s">
        <v>128</v>
      </c>
      <c r="AI53" s="672" t="s">
        <v>128</v>
      </c>
      <c r="AJ53" s="651" t="s">
        <v>94</v>
      </c>
      <c r="AK53" s="651"/>
      <c r="AL53" s="651"/>
      <c r="AM53" s="651"/>
      <c r="AN53" s="651"/>
      <c r="AO53" s="651" t="s">
        <v>94</v>
      </c>
      <c r="AP53" s="648"/>
      <c r="AQ53" s="651" t="s">
        <v>94</v>
      </c>
      <c r="AR53" s="651"/>
      <c r="AS53" s="648"/>
      <c r="AT53" s="115" t="s">
        <v>129</v>
      </c>
      <c r="AU53" s="131">
        <f t="shared" ref="AU53:BB53" si="12">+V55*$J$53</f>
        <v>0</v>
      </c>
      <c r="AV53" s="116">
        <f t="shared" si="12"/>
        <v>0</v>
      </c>
      <c r="AW53" s="131">
        <f t="shared" si="12"/>
        <v>0</v>
      </c>
      <c r="AX53" s="131">
        <f t="shared" si="12"/>
        <v>0</v>
      </c>
      <c r="AY53" s="131">
        <f t="shared" si="12"/>
        <v>0</v>
      </c>
      <c r="AZ53" s="116">
        <f t="shared" si="12"/>
        <v>0</v>
      </c>
      <c r="BA53" s="131">
        <f t="shared" si="12"/>
        <v>0</v>
      </c>
      <c r="BB53" s="132">
        <f t="shared" si="12"/>
        <v>0</v>
      </c>
      <c r="BC53" s="1141"/>
      <c r="BD53" s="1130"/>
      <c r="BE53" s="117"/>
      <c r="BF53" s="118"/>
      <c r="BG53" s="119"/>
      <c r="BH53" s="119"/>
      <c r="BI53" s="119"/>
      <c r="BJ53" s="119"/>
    </row>
    <row r="54" spans="1:62" s="120" customFormat="1" ht="24.95" customHeight="1" x14ac:dyDescent="0.25">
      <c r="A54" s="128"/>
      <c r="B54" s="664"/>
      <c r="C54" s="673"/>
      <c r="D54" s="1116"/>
      <c r="E54" s="754"/>
      <c r="F54" s="655"/>
      <c r="G54" s="655"/>
      <c r="H54" s="655"/>
      <c r="I54" s="553"/>
      <c r="J54" s="655"/>
      <c r="K54" s="553"/>
      <c r="L54" s="678"/>
      <c r="M54" s="667"/>
      <c r="N54" s="662"/>
      <c r="O54" s="662"/>
      <c r="P54" s="657"/>
      <c r="Q54" s="657"/>
      <c r="R54" s="657"/>
      <c r="S54" s="666"/>
      <c r="T54" s="1138"/>
      <c r="U54" s="121" t="s">
        <v>138</v>
      </c>
      <c r="V54" s="133">
        <v>0.01</v>
      </c>
      <c r="W54" s="122">
        <v>7</v>
      </c>
      <c r="X54" s="133">
        <v>0.01</v>
      </c>
      <c r="Y54" s="133">
        <v>0.01</v>
      </c>
      <c r="Z54" s="133">
        <v>0.01</v>
      </c>
      <c r="AA54" s="122">
        <f>+W54</f>
        <v>7</v>
      </c>
      <c r="AB54" s="133">
        <f>+AA54</f>
        <v>7</v>
      </c>
      <c r="AC54" s="133">
        <f>+AA54</f>
        <v>7</v>
      </c>
      <c r="AD54" s="649"/>
      <c r="AE54" s="652"/>
      <c r="AF54" s="652"/>
      <c r="AG54" s="652"/>
      <c r="AH54" s="672"/>
      <c r="AI54" s="672"/>
      <c r="AJ54" s="652"/>
      <c r="AK54" s="652"/>
      <c r="AL54" s="652"/>
      <c r="AM54" s="652"/>
      <c r="AN54" s="652"/>
      <c r="AO54" s="652"/>
      <c r="AP54" s="649"/>
      <c r="AQ54" s="652"/>
      <c r="AR54" s="652"/>
      <c r="AS54" s="649"/>
      <c r="AT54" s="115" t="s">
        <v>131</v>
      </c>
      <c r="AU54" s="123">
        <f>+AU53*$H$53</f>
        <v>0</v>
      </c>
      <c r="AV54" s="123">
        <f t="shared" ref="AV54:BB54" si="13">+AV53*$H$53</f>
        <v>0</v>
      </c>
      <c r="AW54" s="123">
        <f t="shared" si="13"/>
        <v>0</v>
      </c>
      <c r="AX54" s="123">
        <f t="shared" si="13"/>
        <v>0</v>
      </c>
      <c r="AY54" s="123">
        <f t="shared" si="13"/>
        <v>0</v>
      </c>
      <c r="AZ54" s="123">
        <f t="shared" si="13"/>
        <v>0</v>
      </c>
      <c r="BA54" s="123">
        <f t="shared" si="13"/>
        <v>0</v>
      </c>
      <c r="BB54" s="123">
        <f t="shared" si="13"/>
        <v>0</v>
      </c>
      <c r="BC54" s="1141"/>
      <c r="BD54" s="1130"/>
      <c r="BE54" s="117"/>
      <c r="BF54" s="118"/>
      <c r="BG54" s="119"/>
      <c r="BH54" s="119"/>
      <c r="BI54" s="119"/>
      <c r="BJ54" s="119"/>
    </row>
    <row r="55" spans="1:62" s="120" customFormat="1" ht="24.95" customHeight="1" x14ac:dyDescent="0.25">
      <c r="A55" s="128"/>
      <c r="B55" s="664"/>
      <c r="C55" s="673"/>
      <c r="D55" s="1116"/>
      <c r="E55" s="754"/>
      <c r="F55" s="655"/>
      <c r="G55" s="655"/>
      <c r="H55" s="656"/>
      <c r="I55" s="554"/>
      <c r="J55" s="656"/>
      <c r="K55" s="554"/>
      <c r="L55" s="678"/>
      <c r="M55" s="667"/>
      <c r="N55" s="663"/>
      <c r="O55" s="663"/>
      <c r="P55" s="657"/>
      <c r="Q55" s="657"/>
      <c r="R55" s="657"/>
      <c r="S55" s="666"/>
      <c r="T55" s="1139"/>
      <c r="U55" s="125" t="s">
        <v>96</v>
      </c>
      <c r="V55" s="131">
        <f>IF((V53/V54)&lt;$I$8,(V53/V54),IF((V53/V54)&lt;$J$8,(V53/V54),IF((V53/V54)&lt;$J$9,(V53/V54),IF((V53/V54)&gt;=$J$9,$J$9))))</f>
        <v>0</v>
      </c>
      <c r="W55" s="116">
        <f t="shared" ref="W55" si="14">IF((W53/W54)&lt;$I$8,(W53/W54),IF((W53/W54)&lt;$J$8,(W53/W54),IF((W53/W54)&lt;$J$9,(W53/W54),IF((W53/W54)&gt;=$J$9,$J$9))))</f>
        <v>0</v>
      </c>
      <c r="X55" s="131">
        <f>IF((X53/X54)&lt;$I$8,(X53/X54),IF((X53/X54)&lt;$J$8,(X53/X54),IF((X53/X54)&lt;$J$9,(X53/X54),IF((X53/X54)&gt;=$J$9,$J$9))))</f>
        <v>0</v>
      </c>
      <c r="Y55" s="131">
        <f>IF((Y53/Y54)&lt;$I$8,(Y53/Y54),IF((Y53/Y54)&lt;$J$8,(Y53/Y54),IF((Y53/Y54)&lt;$J$9,(Y53/Y54),IF((Y53/Y54)&gt;=$J$9,$J$9))))</f>
        <v>0</v>
      </c>
      <c r="Z55" s="131">
        <f>IF((Z53/Z54)&lt;$I$8,(Z53/Z54),IF((Z53/Z54)&lt;$J$8,(Z53/Z54),IF((Z53/Z54)&lt;$J$9,(Z53/Z54),IF((Z53/Z54)&gt;=$J$9,$J$9))))</f>
        <v>0</v>
      </c>
      <c r="AA55" s="116">
        <f t="shared" ref="AA55" si="15">IF((AA53/AA54)&lt;$I$8,(AA53/AA54),IF((AA53/AA54)&lt;$J$8,(AA53/AA54),IF((AA53/AA54)&lt;$J$9,(AA53/AA54),IF((AA53/AA54)&gt;=$J$9,$J$9))))</f>
        <v>0</v>
      </c>
      <c r="AB55" s="131">
        <f>IF((AB53/AB54)&lt;$I$8,(AB53/AB54),IF((AB53/AB54)&lt;$J$8,(AB53/AB54),IF((AB53/AB54)&lt;$J$9,(AB53/AB54),IF((AB53/AB54)&gt;=$J$9,$J$9))))</f>
        <v>0</v>
      </c>
      <c r="AC55" s="131">
        <f>IF((AC53/AC54)&lt;$I$8,(AC53/AC54),IF((AC53/AC54)&lt;$J$8,(AC53/AC54),IF((AC53/AC54)&lt;$J$9,(AC53/AC54),IF((AC53/AC54)&gt;=$J$9,$J$9))))</f>
        <v>0</v>
      </c>
      <c r="AD55" s="650"/>
      <c r="AE55" s="653"/>
      <c r="AF55" s="653"/>
      <c r="AG55" s="653"/>
      <c r="AH55" s="672"/>
      <c r="AI55" s="672"/>
      <c r="AJ55" s="653"/>
      <c r="AK55" s="653"/>
      <c r="AL55" s="653"/>
      <c r="AM55" s="653"/>
      <c r="AN55" s="653"/>
      <c r="AO55" s="653"/>
      <c r="AP55" s="650"/>
      <c r="AQ55" s="653"/>
      <c r="AR55" s="653"/>
      <c r="AS55" s="650"/>
      <c r="AT55" s="115" t="s">
        <v>132</v>
      </c>
      <c r="AU55" s="555"/>
      <c r="AV55" s="556"/>
      <c r="AW55" s="556"/>
      <c r="AX55" s="556"/>
      <c r="AY55" s="556"/>
      <c r="AZ55" s="556"/>
      <c r="BA55" s="556"/>
      <c r="BB55" s="557"/>
      <c r="BC55" s="1141"/>
      <c r="BD55" s="1130"/>
      <c r="BE55" s="117"/>
      <c r="BF55" s="118"/>
      <c r="BG55" s="119"/>
      <c r="BH55" s="119"/>
      <c r="BI55" s="119"/>
      <c r="BJ55" s="119"/>
    </row>
    <row r="56" spans="1:62" s="120" customFormat="1" ht="30" customHeight="1" x14ac:dyDescent="0.25">
      <c r="A56" s="128"/>
      <c r="B56" s="134"/>
      <c r="C56" s="673">
        <v>3</v>
      </c>
      <c r="D56" s="1116"/>
      <c r="E56" s="754"/>
      <c r="F56" s="655"/>
      <c r="G56" s="655"/>
      <c r="H56" s="654">
        <v>0.2</v>
      </c>
      <c r="I56" s="661" t="s">
        <v>139</v>
      </c>
      <c r="J56" s="654">
        <v>1</v>
      </c>
      <c r="K56" s="552" t="s">
        <v>140</v>
      </c>
      <c r="L56" s="678" t="s">
        <v>141</v>
      </c>
      <c r="M56" s="667" t="str">
        <f t="shared" ref="M56" si="16">CONCATENATE(U56,$U$32,U57)</f>
        <v>% de cumplimiento de los indicadores (resultado / impacto) asociados a los proyectos logrado / % de cumplimiento de los indicadores (resultado / impacto) asociados a los proyectos esperado</v>
      </c>
      <c r="N56" s="661" t="s">
        <v>142</v>
      </c>
      <c r="O56" s="661" t="s">
        <v>143</v>
      </c>
      <c r="P56" s="657">
        <v>0.15</v>
      </c>
      <c r="Q56" s="657" t="s">
        <v>90</v>
      </c>
      <c r="R56" s="657">
        <v>0.9</v>
      </c>
      <c r="S56" s="666">
        <v>0.6</v>
      </c>
      <c r="T56" s="1137" t="s">
        <v>91</v>
      </c>
      <c r="U56" s="112" t="s">
        <v>144</v>
      </c>
      <c r="V56" s="135"/>
      <c r="W56" s="135"/>
      <c r="X56" s="135"/>
      <c r="Y56" s="135"/>
      <c r="Z56" s="136"/>
      <c r="AA56" s="136"/>
      <c r="AB56" s="136"/>
      <c r="AC56" s="136"/>
      <c r="AD56" s="648">
        <f>AE56+AF56+AG56</f>
        <v>0</v>
      </c>
      <c r="AE56" s="651">
        <v>0</v>
      </c>
      <c r="AF56" s="651">
        <v>0</v>
      </c>
      <c r="AG56" s="651">
        <v>0</v>
      </c>
      <c r="AH56" s="672" t="s">
        <v>128</v>
      </c>
      <c r="AI56" s="672" t="s">
        <v>128</v>
      </c>
      <c r="AJ56" s="651" t="s">
        <v>94</v>
      </c>
      <c r="AK56" s="651"/>
      <c r="AL56" s="651"/>
      <c r="AM56" s="651"/>
      <c r="AN56" s="651"/>
      <c r="AO56" s="648"/>
      <c r="AP56" s="651" t="s">
        <v>94</v>
      </c>
      <c r="AQ56" s="648"/>
      <c r="AR56" s="651"/>
      <c r="AS56" s="651" t="s">
        <v>94</v>
      </c>
      <c r="AT56" s="115" t="s">
        <v>129</v>
      </c>
      <c r="AU56" s="131">
        <f t="shared" ref="AU56:BB56" si="17">+V58*$J$56</f>
        <v>0</v>
      </c>
      <c r="AV56" s="131">
        <f t="shared" si="17"/>
        <v>0</v>
      </c>
      <c r="AW56" s="131">
        <f t="shared" si="17"/>
        <v>0</v>
      </c>
      <c r="AX56" s="116">
        <f t="shared" si="17"/>
        <v>0</v>
      </c>
      <c r="AY56" s="131">
        <f t="shared" si="17"/>
        <v>0</v>
      </c>
      <c r="AZ56" s="131">
        <f t="shared" si="17"/>
        <v>0</v>
      </c>
      <c r="BA56" s="131">
        <f t="shared" si="17"/>
        <v>0</v>
      </c>
      <c r="BB56" s="116">
        <f t="shared" si="17"/>
        <v>0</v>
      </c>
      <c r="BC56" s="1141"/>
      <c r="BD56" s="1130"/>
      <c r="BE56" s="117"/>
      <c r="BF56" s="118"/>
      <c r="BG56" s="119"/>
      <c r="BH56" s="119"/>
      <c r="BI56" s="119"/>
      <c r="BJ56" s="119"/>
    </row>
    <row r="57" spans="1:62" s="120" customFormat="1" ht="30" customHeight="1" x14ac:dyDescent="0.25">
      <c r="A57" s="128"/>
      <c r="B57" s="134"/>
      <c r="C57" s="673"/>
      <c r="D57" s="1116"/>
      <c r="E57" s="754"/>
      <c r="F57" s="655"/>
      <c r="G57" s="655"/>
      <c r="H57" s="655"/>
      <c r="I57" s="662"/>
      <c r="J57" s="655"/>
      <c r="K57" s="553"/>
      <c r="L57" s="678"/>
      <c r="M57" s="667"/>
      <c r="N57" s="662"/>
      <c r="O57" s="662"/>
      <c r="P57" s="657"/>
      <c r="Q57" s="657"/>
      <c r="R57" s="657"/>
      <c r="S57" s="666"/>
      <c r="T57" s="1138"/>
      <c r="U57" s="121" t="s">
        <v>145</v>
      </c>
      <c r="V57" s="137">
        <v>1E-4</v>
      </c>
      <c r="W57" s="137">
        <v>1E-4</v>
      </c>
      <c r="X57" s="137">
        <v>1E-4</v>
      </c>
      <c r="Y57" s="138">
        <f>+S56</f>
        <v>0.6</v>
      </c>
      <c r="Z57" s="137">
        <v>1E-4</v>
      </c>
      <c r="AA57" s="137">
        <v>1E-4</v>
      </c>
      <c r="AB57" s="137">
        <v>1E-4</v>
      </c>
      <c r="AC57" s="138">
        <f>+Y57</f>
        <v>0.6</v>
      </c>
      <c r="AD57" s="649"/>
      <c r="AE57" s="652"/>
      <c r="AF57" s="652"/>
      <c r="AG57" s="652"/>
      <c r="AH57" s="672"/>
      <c r="AI57" s="672"/>
      <c r="AJ57" s="652"/>
      <c r="AK57" s="652"/>
      <c r="AL57" s="652"/>
      <c r="AM57" s="652"/>
      <c r="AN57" s="652"/>
      <c r="AO57" s="649"/>
      <c r="AP57" s="652"/>
      <c r="AQ57" s="649"/>
      <c r="AR57" s="652"/>
      <c r="AS57" s="652"/>
      <c r="AT57" s="115" t="s">
        <v>131</v>
      </c>
      <c r="AU57" s="123">
        <f>+AU56*$H$56</f>
        <v>0</v>
      </c>
      <c r="AV57" s="123">
        <f t="shared" ref="AV57:BB57" si="18">+AV56*$H$56</f>
        <v>0</v>
      </c>
      <c r="AW57" s="123">
        <f t="shared" si="18"/>
        <v>0</v>
      </c>
      <c r="AX57" s="123">
        <f t="shared" si="18"/>
        <v>0</v>
      </c>
      <c r="AY57" s="123">
        <f t="shared" si="18"/>
        <v>0</v>
      </c>
      <c r="AZ57" s="123">
        <f t="shared" si="18"/>
        <v>0</v>
      </c>
      <c r="BA57" s="123">
        <f t="shared" si="18"/>
        <v>0</v>
      </c>
      <c r="BB57" s="123">
        <f t="shared" si="18"/>
        <v>0</v>
      </c>
      <c r="BC57" s="1141"/>
      <c r="BD57" s="1130"/>
      <c r="BE57" s="117"/>
      <c r="BF57" s="118"/>
      <c r="BG57" s="119"/>
      <c r="BH57" s="119"/>
      <c r="BI57" s="119"/>
      <c r="BJ57" s="119"/>
    </row>
    <row r="58" spans="1:62" s="120" customFormat="1" ht="24.95" customHeight="1" x14ac:dyDescent="0.25">
      <c r="A58" s="128"/>
      <c r="B58" s="134"/>
      <c r="C58" s="673"/>
      <c r="D58" s="1116"/>
      <c r="E58" s="754"/>
      <c r="F58" s="656"/>
      <c r="G58" s="656"/>
      <c r="H58" s="656"/>
      <c r="I58" s="663"/>
      <c r="J58" s="656"/>
      <c r="K58" s="554"/>
      <c r="L58" s="678"/>
      <c r="M58" s="667"/>
      <c r="N58" s="663"/>
      <c r="O58" s="663"/>
      <c r="P58" s="657"/>
      <c r="Q58" s="657"/>
      <c r="R58" s="657"/>
      <c r="S58" s="666"/>
      <c r="T58" s="1139"/>
      <c r="U58" s="125" t="s">
        <v>96</v>
      </c>
      <c r="V58" s="131">
        <f>IF((V56/V57)&lt;$I$8,(V56/V57),IF((V56/V57)&lt;$J$8,(V56/V57),IF((V56/V57)&lt;$J$9,(V56/V57),IF((V56/V57)&gt;=$J$9,$J$9))))</f>
        <v>0</v>
      </c>
      <c r="W58" s="131">
        <f>IF((W56/W57)&lt;$I$8,(W56/W57),IF((W56/W57)&lt;$J$8,(W56/W57),IF((W56/W57)&lt;$J$9,(W56/W57),IF((W56/W57)&gt;=$J$9,$J$9))))</f>
        <v>0</v>
      </c>
      <c r="X58" s="131">
        <f>IF((X56/X57)&lt;$I$8,(X56/X57),IF((X56/X57)&lt;$J$8,(X56/X57),IF((X56/X57)&lt;$J$9,(X56/X57),IF((X56/X57)&gt;=$J$9,$J$9))))</f>
        <v>0</v>
      </c>
      <c r="Y58" s="116">
        <f t="shared" ref="Y58" si="19">IF((Y56/Y57)&lt;$I$8,(Y56/Y57),IF((Y56/Y57)&lt;$J$8,(Y56/Y57),IF((Y56/Y57)&lt;$J$9,(Y56/Y57),IF((Y56/Y57)&gt;=$J$9,$J$9))))</f>
        <v>0</v>
      </c>
      <c r="Z58" s="131">
        <f>IF((Z56/Z57)&lt;$I$8,(Z56/Z57),IF((Z56/Z57)&lt;$J$8,(Z56/Z57),IF((Z56/Z57)&lt;$J$9,(Z56/Z57),IF((Z56/Z57)&gt;=$J$9,$J$9))))</f>
        <v>0</v>
      </c>
      <c r="AA58" s="131">
        <f>IF((AA56/AA57)&lt;$I$8,(AA56/AA57),IF((AA56/AA57)&lt;$J$8,(AA56/AA57),IF((AA56/AA57)&lt;$J$9,(AA56/AA57),IF((AA56/AA57)&gt;=$J$9,$J$9))))</f>
        <v>0</v>
      </c>
      <c r="AB58" s="131">
        <f>IF((AB56/AB57)&lt;$I$8,(AB56/AB57),IF((AB56/AB57)&lt;$J$8,(AB56/AB57),IF((AB56/AB57)&lt;$J$9,(AB56/AB57),IF((AB56/AB57)&gt;=$J$9,$J$9))))</f>
        <v>0</v>
      </c>
      <c r="AC58" s="116">
        <f t="shared" ref="AC58" si="20">IF((AC56/AC57)&lt;$I$8,(AC56/AC57),IF((AC56/AC57)&lt;$J$8,(AC56/AC57),IF((AC56/AC57)&lt;$J$9,(AC56/AC57),IF((AC56/AC57)&gt;=$J$9,$J$9))))</f>
        <v>0</v>
      </c>
      <c r="AD58" s="650"/>
      <c r="AE58" s="653"/>
      <c r="AF58" s="653"/>
      <c r="AG58" s="653"/>
      <c r="AH58" s="672"/>
      <c r="AI58" s="672"/>
      <c r="AJ58" s="653"/>
      <c r="AK58" s="653"/>
      <c r="AL58" s="653"/>
      <c r="AM58" s="653"/>
      <c r="AN58" s="653"/>
      <c r="AO58" s="650"/>
      <c r="AP58" s="653"/>
      <c r="AQ58" s="650"/>
      <c r="AR58" s="653"/>
      <c r="AS58" s="653"/>
      <c r="AT58" s="115" t="s">
        <v>132</v>
      </c>
      <c r="AU58" s="555"/>
      <c r="AV58" s="556"/>
      <c r="AW58" s="556"/>
      <c r="AX58" s="556"/>
      <c r="AY58" s="556"/>
      <c r="AZ58" s="556"/>
      <c r="BA58" s="556"/>
      <c r="BB58" s="557"/>
      <c r="BC58" s="1141"/>
      <c r="BD58" s="1130"/>
      <c r="BE58" s="117"/>
      <c r="BF58" s="118"/>
      <c r="BG58" s="119"/>
      <c r="BH58" s="119"/>
      <c r="BI58" s="119"/>
      <c r="BJ58" s="119"/>
    </row>
    <row r="59" spans="1:62" s="120" customFormat="1" ht="24.95" customHeight="1" x14ac:dyDescent="0.25">
      <c r="A59" s="139"/>
      <c r="B59" s="664"/>
      <c r="C59" s="665">
        <v>4</v>
      </c>
      <c r="D59" s="1116"/>
      <c r="E59" s="754"/>
      <c r="F59" s="654">
        <v>0.35</v>
      </c>
      <c r="G59" s="654" t="s">
        <v>146</v>
      </c>
      <c r="H59" s="654">
        <v>1</v>
      </c>
      <c r="I59" s="779" t="s">
        <v>147</v>
      </c>
      <c r="J59" s="654">
        <v>1</v>
      </c>
      <c r="K59" s="546" t="s">
        <v>148</v>
      </c>
      <c r="L59" s="546" t="s">
        <v>149</v>
      </c>
      <c r="M59" s="667" t="str">
        <f t="shared" ref="M59" si="21">CONCATENATE(U59,$U$32,U60)</f>
        <v>% PAA ejecutado / % PAA programado</v>
      </c>
      <c r="N59" s="661" t="s">
        <v>150</v>
      </c>
      <c r="O59" s="661" t="s">
        <v>126</v>
      </c>
      <c r="P59" s="657">
        <v>0.05</v>
      </c>
      <c r="Q59" s="657">
        <v>1</v>
      </c>
      <c r="R59" s="657">
        <v>1</v>
      </c>
      <c r="S59" s="657">
        <v>1</v>
      </c>
      <c r="T59" s="658" t="s">
        <v>151</v>
      </c>
      <c r="U59" s="112" t="s">
        <v>152</v>
      </c>
      <c r="V59" s="135"/>
      <c r="W59" s="135"/>
      <c r="X59" s="135"/>
      <c r="Y59" s="135"/>
      <c r="Z59" s="136"/>
      <c r="AA59" s="136"/>
      <c r="AB59" s="136"/>
      <c r="AC59" s="136"/>
      <c r="AD59" s="648">
        <f>AE59+AF59+AG59</f>
        <v>0</v>
      </c>
      <c r="AE59" s="651">
        <v>0</v>
      </c>
      <c r="AF59" s="651">
        <v>0</v>
      </c>
      <c r="AG59" s="651">
        <v>0</v>
      </c>
      <c r="AH59" s="672" t="s">
        <v>128</v>
      </c>
      <c r="AI59" s="672" t="s">
        <v>128</v>
      </c>
      <c r="AJ59" s="651" t="s">
        <v>94</v>
      </c>
      <c r="AK59" s="651"/>
      <c r="AL59" s="651"/>
      <c r="AM59" s="651"/>
      <c r="AN59" s="651" t="s">
        <v>94</v>
      </c>
      <c r="AO59" s="648"/>
      <c r="AP59" s="648"/>
      <c r="AQ59" s="651" t="s">
        <v>94</v>
      </c>
      <c r="AR59" s="651"/>
      <c r="AS59" s="648"/>
      <c r="AT59" s="115" t="s">
        <v>129</v>
      </c>
      <c r="AU59" s="116">
        <f t="shared" ref="AU59:BB59" si="22">+V61*$J$59</f>
        <v>0</v>
      </c>
      <c r="AV59" s="116">
        <f t="shared" si="22"/>
        <v>0</v>
      </c>
      <c r="AW59" s="116">
        <f t="shared" si="22"/>
        <v>0</v>
      </c>
      <c r="AX59" s="116">
        <f t="shared" si="22"/>
        <v>0</v>
      </c>
      <c r="AY59" s="116">
        <f t="shared" si="22"/>
        <v>0</v>
      </c>
      <c r="AZ59" s="116">
        <f t="shared" si="22"/>
        <v>0</v>
      </c>
      <c r="BA59" s="116">
        <f t="shared" si="22"/>
        <v>0</v>
      </c>
      <c r="BB59" s="116">
        <f t="shared" si="22"/>
        <v>0</v>
      </c>
      <c r="BC59" s="1141"/>
      <c r="BD59" s="1130"/>
      <c r="BE59" s="117"/>
      <c r="BF59" s="118"/>
    </row>
    <row r="60" spans="1:62" s="120" customFormat="1" ht="24.95" customHeight="1" thickBot="1" x14ac:dyDescent="0.3">
      <c r="A60" s="139"/>
      <c r="B60" s="664"/>
      <c r="C60" s="665"/>
      <c r="D60" s="1116"/>
      <c r="E60" s="754"/>
      <c r="F60" s="655"/>
      <c r="G60" s="655"/>
      <c r="H60" s="655"/>
      <c r="I60" s="780"/>
      <c r="J60" s="655"/>
      <c r="K60" s="547"/>
      <c r="L60" s="547"/>
      <c r="M60" s="667"/>
      <c r="N60" s="662"/>
      <c r="O60" s="662"/>
      <c r="P60" s="657"/>
      <c r="Q60" s="657"/>
      <c r="R60" s="657"/>
      <c r="S60" s="657"/>
      <c r="T60" s="659"/>
      <c r="U60" s="121" t="s">
        <v>153</v>
      </c>
      <c r="V60" s="140">
        <v>0.2</v>
      </c>
      <c r="W60" s="140">
        <v>0.2</v>
      </c>
      <c r="X60" s="140">
        <v>0.2</v>
      </c>
      <c r="Y60" s="140">
        <v>0.4</v>
      </c>
      <c r="Z60" s="140">
        <f>+V60</f>
        <v>0.2</v>
      </c>
      <c r="AA60" s="140">
        <f>+V60+W60</f>
        <v>0.4</v>
      </c>
      <c r="AB60" s="140">
        <f>+V60+W60+X60</f>
        <v>0.60000000000000009</v>
      </c>
      <c r="AC60" s="140">
        <f>+V60+W60+X60+Y60</f>
        <v>1</v>
      </c>
      <c r="AD60" s="649"/>
      <c r="AE60" s="652"/>
      <c r="AF60" s="652"/>
      <c r="AG60" s="652"/>
      <c r="AH60" s="672"/>
      <c r="AI60" s="672"/>
      <c r="AJ60" s="652"/>
      <c r="AK60" s="652"/>
      <c r="AL60" s="652"/>
      <c r="AM60" s="652"/>
      <c r="AN60" s="652"/>
      <c r="AO60" s="649"/>
      <c r="AP60" s="649"/>
      <c r="AQ60" s="652"/>
      <c r="AR60" s="652"/>
      <c r="AS60" s="649"/>
      <c r="AT60" s="115" t="s">
        <v>131</v>
      </c>
      <c r="AU60" s="123">
        <f>+AU59*$H$59</f>
        <v>0</v>
      </c>
      <c r="AV60" s="123">
        <f t="shared" ref="AV60:BB60" si="23">+AV59*$H$59</f>
        <v>0</v>
      </c>
      <c r="AW60" s="123">
        <f t="shared" si="23"/>
        <v>0</v>
      </c>
      <c r="AX60" s="123">
        <f t="shared" si="23"/>
        <v>0</v>
      </c>
      <c r="AY60" s="123">
        <f t="shared" si="23"/>
        <v>0</v>
      </c>
      <c r="AZ60" s="123">
        <f t="shared" si="23"/>
        <v>0</v>
      </c>
      <c r="BA60" s="123">
        <f t="shared" si="23"/>
        <v>0</v>
      </c>
      <c r="BB60" s="124">
        <f t="shared" si="23"/>
        <v>0</v>
      </c>
      <c r="BC60" s="1141"/>
      <c r="BD60" s="1130"/>
      <c r="BE60" s="117"/>
      <c r="BF60" s="118"/>
    </row>
    <row r="61" spans="1:62" s="120" customFormat="1" ht="24.95" customHeight="1" thickBot="1" x14ac:dyDescent="0.3">
      <c r="A61" s="139"/>
      <c r="B61" s="664"/>
      <c r="C61" s="665"/>
      <c r="D61" s="1116"/>
      <c r="E61" s="754"/>
      <c r="F61" s="656"/>
      <c r="G61" s="656"/>
      <c r="H61" s="656"/>
      <c r="I61" s="781"/>
      <c r="J61" s="656"/>
      <c r="K61" s="548"/>
      <c r="L61" s="548"/>
      <c r="M61" s="667"/>
      <c r="N61" s="663"/>
      <c r="O61" s="663"/>
      <c r="P61" s="657"/>
      <c r="Q61" s="657"/>
      <c r="R61" s="657"/>
      <c r="S61" s="657"/>
      <c r="T61" s="660"/>
      <c r="U61" s="125" t="s">
        <v>96</v>
      </c>
      <c r="V61" s="116">
        <f t="shared" ref="V61:AC61" si="24">IF((V59/V60)&lt;$I$8,(V59/V60),IF((V59/V60)&lt;$J$8,(V59/V60),IF((V59/V60)&lt;$J$9,(V59/V60),IF((V59/V60)&gt;=$J$9,$J$9))))</f>
        <v>0</v>
      </c>
      <c r="W61" s="116">
        <f t="shared" si="24"/>
        <v>0</v>
      </c>
      <c r="X61" s="116">
        <f t="shared" si="24"/>
        <v>0</v>
      </c>
      <c r="Y61" s="116">
        <f t="shared" si="24"/>
        <v>0</v>
      </c>
      <c r="Z61" s="116">
        <f t="shared" si="24"/>
        <v>0</v>
      </c>
      <c r="AA61" s="116">
        <f t="shared" si="24"/>
        <v>0</v>
      </c>
      <c r="AB61" s="116">
        <f t="shared" si="24"/>
        <v>0</v>
      </c>
      <c r="AC61" s="116">
        <f t="shared" si="24"/>
        <v>0</v>
      </c>
      <c r="AD61" s="650"/>
      <c r="AE61" s="653"/>
      <c r="AF61" s="653"/>
      <c r="AG61" s="653"/>
      <c r="AH61" s="672"/>
      <c r="AI61" s="672"/>
      <c r="AJ61" s="653"/>
      <c r="AK61" s="653"/>
      <c r="AL61" s="653"/>
      <c r="AM61" s="653"/>
      <c r="AN61" s="653"/>
      <c r="AO61" s="650"/>
      <c r="AP61" s="650"/>
      <c r="AQ61" s="653"/>
      <c r="AR61" s="653"/>
      <c r="AS61" s="650"/>
      <c r="AT61" s="115" t="s">
        <v>132</v>
      </c>
      <c r="AU61" s="123">
        <f>+AU60*$F$59</f>
        <v>0</v>
      </c>
      <c r="AV61" s="123">
        <f t="shared" ref="AV61:BB61" si="25">+AV60*$F$59</f>
        <v>0</v>
      </c>
      <c r="AW61" s="123">
        <f t="shared" si="25"/>
        <v>0</v>
      </c>
      <c r="AX61" s="123">
        <f t="shared" si="25"/>
        <v>0</v>
      </c>
      <c r="AY61" s="124">
        <f t="shared" si="25"/>
        <v>0</v>
      </c>
      <c r="AZ61" s="123">
        <f t="shared" si="25"/>
        <v>0</v>
      </c>
      <c r="BA61" s="126">
        <f t="shared" si="25"/>
        <v>0</v>
      </c>
      <c r="BB61" s="127">
        <f t="shared" si="25"/>
        <v>0</v>
      </c>
      <c r="BC61" s="1142"/>
      <c r="BD61" s="1131"/>
      <c r="BE61" s="117"/>
      <c r="BF61" s="118"/>
    </row>
    <row r="62" spans="1:62" s="102" customFormat="1" ht="24.95" hidden="1" customHeight="1" thickBot="1" x14ac:dyDescent="0.3">
      <c r="A62" s="141"/>
      <c r="B62" s="96"/>
      <c r="C62" s="142"/>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4"/>
      <c r="AE62" s="144"/>
      <c r="AF62" s="144"/>
      <c r="AG62" s="144"/>
      <c r="AH62" s="144"/>
      <c r="AI62" s="144"/>
      <c r="AJ62" s="145">
        <f>COUNTA(AJ50:AJ61)</f>
        <v>4</v>
      </c>
      <c r="AK62" s="145">
        <f t="shared" ref="AK62:AS62" si="26">COUNTA(AK50:AK61)</f>
        <v>0</v>
      </c>
      <c r="AL62" s="145">
        <f t="shared" si="26"/>
        <v>0</v>
      </c>
      <c r="AM62" s="145">
        <f t="shared" si="26"/>
        <v>0</v>
      </c>
      <c r="AN62" s="145">
        <f t="shared" si="26"/>
        <v>2</v>
      </c>
      <c r="AO62" s="145">
        <f t="shared" si="26"/>
        <v>1</v>
      </c>
      <c r="AP62" s="145">
        <f t="shared" si="26"/>
        <v>1</v>
      </c>
      <c r="AQ62" s="145">
        <f t="shared" si="26"/>
        <v>3</v>
      </c>
      <c r="AR62" s="145">
        <f t="shared" si="26"/>
        <v>0</v>
      </c>
      <c r="AS62" s="145">
        <f t="shared" si="26"/>
        <v>1</v>
      </c>
      <c r="AT62" s="144"/>
      <c r="AU62" s="146">
        <f>+AU52+AU61</f>
        <v>0</v>
      </c>
      <c r="AV62" s="146">
        <f t="shared" ref="AV62:BB62" si="27">+AV52+AV61</f>
        <v>0</v>
      </c>
      <c r="AW62" s="146">
        <f t="shared" si="27"/>
        <v>0</v>
      </c>
      <c r="AX62" s="147">
        <f t="shared" si="27"/>
        <v>0</v>
      </c>
      <c r="AY62" s="148">
        <f t="shared" si="27"/>
        <v>0</v>
      </c>
      <c r="AZ62" s="149">
        <f t="shared" si="27"/>
        <v>0</v>
      </c>
      <c r="BA62" s="146">
        <f t="shared" si="27"/>
        <v>0</v>
      </c>
      <c r="BB62" s="146">
        <f t="shared" si="27"/>
        <v>0</v>
      </c>
      <c r="BC62" s="150"/>
      <c r="BD62" s="150"/>
      <c r="BE62" s="100"/>
      <c r="BF62" s="101"/>
    </row>
    <row r="63" spans="1:62" s="159" customFormat="1" ht="20.100000000000001" hidden="1" customHeight="1" x14ac:dyDescent="0.25">
      <c r="A63" s="44"/>
      <c r="B63" s="151"/>
      <c r="C63" s="152"/>
      <c r="D63" s="153"/>
      <c r="E63" s="153"/>
      <c r="F63" s="154"/>
      <c r="G63" s="154"/>
      <c r="H63" s="154"/>
      <c r="I63" s="155"/>
      <c r="J63" s="154"/>
      <c r="K63" s="155"/>
      <c r="L63" s="155"/>
      <c r="M63" s="155"/>
      <c r="N63" s="155"/>
      <c r="O63" s="155"/>
      <c r="P63" s="155"/>
      <c r="Q63" s="646" t="s">
        <v>154</v>
      </c>
      <c r="R63" s="646"/>
      <c r="S63" s="646"/>
      <c r="T63" s="646"/>
      <c r="U63" s="647"/>
      <c r="V63" s="156">
        <v>2</v>
      </c>
      <c r="W63" s="156">
        <v>3</v>
      </c>
      <c r="X63" s="156">
        <v>3</v>
      </c>
      <c r="Y63" s="156">
        <v>4</v>
      </c>
      <c r="Z63" s="157"/>
      <c r="AA63" s="157"/>
      <c r="AB63" s="157"/>
      <c r="AC63" s="157"/>
      <c r="AD63" s="158"/>
      <c r="AE63" s="157"/>
      <c r="AF63" s="157"/>
      <c r="AG63" s="157"/>
      <c r="AH63" s="157"/>
      <c r="AI63" s="157"/>
      <c r="AJ63" s="157"/>
      <c r="AK63" s="157"/>
      <c r="AL63" s="157"/>
      <c r="AM63" s="157"/>
      <c r="AN63" s="157"/>
      <c r="AO63" s="157"/>
      <c r="AP63" s="157"/>
      <c r="AQ63" s="157"/>
      <c r="AR63" s="157"/>
      <c r="AS63" s="157"/>
      <c r="AT63" s="48"/>
      <c r="AU63" s="48"/>
      <c r="AV63" s="48"/>
      <c r="AW63" s="48"/>
      <c r="AX63" s="48"/>
      <c r="AY63" s="48"/>
      <c r="AZ63" s="48"/>
      <c r="BA63" s="48"/>
      <c r="BB63" s="48"/>
      <c r="BC63" s="48"/>
      <c r="BD63" s="48"/>
      <c r="BE63" s="48"/>
      <c r="BF63" s="49"/>
    </row>
    <row r="64" spans="1:62" ht="20.100000000000001" hidden="1" customHeight="1" x14ac:dyDescent="0.25">
      <c r="A64" s="44"/>
      <c r="B64" s="151"/>
      <c r="C64" s="152"/>
      <c r="D64" s="153"/>
      <c r="E64" s="153"/>
      <c r="F64" s="154"/>
      <c r="G64" s="154"/>
      <c r="H64" s="154"/>
      <c r="I64" s="155"/>
      <c r="J64" s="154"/>
      <c r="K64" s="155"/>
      <c r="L64" s="155"/>
      <c r="M64" s="155"/>
      <c r="N64" s="155"/>
      <c r="O64" s="155"/>
      <c r="P64" s="155"/>
      <c r="Q64" s="646" t="s">
        <v>155</v>
      </c>
      <c r="R64" s="646"/>
      <c r="S64" s="646"/>
      <c r="T64" s="646"/>
      <c r="U64" s="647"/>
      <c r="V64" s="160">
        <v>2</v>
      </c>
      <c r="W64" s="161">
        <v>3</v>
      </c>
      <c r="X64" s="161">
        <v>1</v>
      </c>
      <c r="Y64" s="161"/>
      <c r="Z64" s="157"/>
      <c r="AA64" s="157"/>
      <c r="AB64" s="157"/>
      <c r="AC64" s="157"/>
      <c r="AD64" s="158"/>
      <c r="AE64" s="157"/>
      <c r="AF64" s="157"/>
      <c r="AG64" s="157"/>
      <c r="AH64" s="157"/>
      <c r="AI64" s="157"/>
      <c r="AJ64" s="157"/>
      <c r="AK64" s="157"/>
      <c r="AL64" s="157"/>
      <c r="AM64" s="157"/>
      <c r="AN64" s="157"/>
      <c r="AO64" s="157"/>
      <c r="AP64" s="157"/>
      <c r="AQ64" s="157"/>
      <c r="AR64" s="157"/>
      <c r="AS64" s="157"/>
      <c r="AT64" s="94"/>
      <c r="AU64" s="48"/>
      <c r="AV64" s="48"/>
      <c r="AW64" s="48"/>
      <c r="AX64" s="48"/>
      <c r="AY64" s="48"/>
      <c r="AZ64" s="48"/>
      <c r="BA64" s="48"/>
      <c r="BB64" s="48"/>
      <c r="BC64" s="48"/>
      <c r="BD64" s="48"/>
      <c r="BE64" s="48"/>
      <c r="BF64" s="49"/>
    </row>
    <row r="65" spans="1:58" ht="20.100000000000001" hidden="1" customHeight="1" x14ac:dyDescent="0.25">
      <c r="A65" s="44"/>
      <c r="B65" s="151"/>
      <c r="C65" s="152"/>
      <c r="D65" s="153"/>
      <c r="E65" s="153"/>
      <c r="F65" s="154"/>
      <c r="G65" s="154"/>
      <c r="H65" s="154"/>
      <c r="I65" s="155"/>
      <c r="J65" s="154"/>
      <c r="K65" s="155"/>
      <c r="L65" s="155"/>
      <c r="M65" s="155"/>
      <c r="N65" s="155"/>
      <c r="O65" s="155"/>
      <c r="P65" s="155"/>
      <c r="Q65" s="646" t="s">
        <v>156</v>
      </c>
      <c r="R65" s="646"/>
      <c r="S65" s="646"/>
      <c r="T65" s="646"/>
      <c r="U65" s="647"/>
      <c r="V65" s="161">
        <v>2</v>
      </c>
      <c r="W65" s="161">
        <v>0</v>
      </c>
      <c r="X65" s="161">
        <v>1</v>
      </c>
      <c r="Y65" s="161"/>
      <c r="Z65" s="157"/>
      <c r="AA65" s="157"/>
      <c r="AB65" s="157"/>
      <c r="AC65" s="157"/>
      <c r="AD65" s="158"/>
      <c r="AE65" s="157"/>
      <c r="AF65" s="157"/>
      <c r="AG65" s="157"/>
      <c r="AH65" s="157"/>
      <c r="AI65" s="157"/>
      <c r="AJ65" s="157"/>
      <c r="AK65" s="157"/>
      <c r="AL65" s="157"/>
      <c r="AM65" s="157"/>
      <c r="AN65" s="157"/>
      <c r="AO65" s="157"/>
      <c r="AP65" s="157"/>
      <c r="AQ65" s="157"/>
      <c r="AR65" s="157"/>
      <c r="AS65" s="157"/>
      <c r="AT65" s="48"/>
      <c r="AU65" s="48"/>
      <c r="AV65" s="48"/>
      <c r="AW65" s="48"/>
      <c r="AX65" s="48"/>
      <c r="AY65" s="48"/>
      <c r="AZ65" s="48"/>
      <c r="BA65" s="48"/>
      <c r="BB65" s="48"/>
      <c r="BC65" s="48"/>
      <c r="BD65" s="48"/>
      <c r="BE65" s="48"/>
      <c r="BF65" s="49"/>
    </row>
    <row r="66" spans="1:58" ht="20.100000000000001" hidden="1" customHeight="1" x14ac:dyDescent="0.25">
      <c r="A66" s="44"/>
      <c r="B66" s="151"/>
      <c r="C66" s="152"/>
      <c r="D66" s="153"/>
      <c r="E66" s="153"/>
      <c r="F66" s="154"/>
      <c r="G66" s="154"/>
      <c r="H66" s="154"/>
      <c r="I66" s="155"/>
      <c r="J66" s="154"/>
      <c r="K66" s="155"/>
      <c r="L66" s="155"/>
      <c r="M66" s="155"/>
      <c r="N66" s="155"/>
      <c r="O66" s="155"/>
      <c r="P66" s="155"/>
      <c r="Q66" s="646" t="s">
        <v>157</v>
      </c>
      <c r="R66" s="646"/>
      <c r="S66" s="646"/>
      <c r="T66" s="646"/>
      <c r="U66" s="647"/>
      <c r="V66" s="161">
        <f>+V63-V64</f>
        <v>0</v>
      </c>
      <c r="W66" s="161">
        <f>+W63-W64</f>
        <v>0</v>
      </c>
      <c r="X66" s="161">
        <f>+X63-X64</f>
        <v>2</v>
      </c>
      <c r="Y66" s="161">
        <f>+Y63-Y64</f>
        <v>4</v>
      </c>
      <c r="Z66" s="157"/>
      <c r="AA66" s="157"/>
      <c r="AB66" s="157"/>
      <c r="AC66" s="157"/>
      <c r="AD66" s="158"/>
      <c r="AE66" s="157"/>
      <c r="AF66" s="157"/>
      <c r="AG66" s="157"/>
      <c r="AH66" s="157"/>
      <c r="AI66" s="157"/>
      <c r="AJ66" s="157"/>
      <c r="AK66" s="157"/>
      <c r="AL66" s="157"/>
      <c r="AM66" s="157"/>
      <c r="AN66" s="157"/>
      <c r="AO66" s="157"/>
      <c r="AP66" s="157"/>
      <c r="AQ66" s="157"/>
      <c r="AR66" s="157"/>
      <c r="AS66" s="157"/>
      <c r="AT66" s="94"/>
      <c r="AU66" s="48"/>
      <c r="AV66" s="48"/>
      <c r="AW66" s="48"/>
      <c r="AX66" s="48"/>
      <c r="AY66" s="48"/>
      <c r="AZ66" s="48"/>
      <c r="BA66" s="48"/>
      <c r="BB66" s="48"/>
      <c r="BC66" s="48"/>
      <c r="BD66" s="48"/>
      <c r="BE66" s="48"/>
      <c r="BF66" s="49"/>
    </row>
    <row r="67" spans="1:58" ht="20.100000000000001" hidden="1" customHeight="1" x14ac:dyDescent="0.25">
      <c r="A67" s="44"/>
      <c r="B67" s="151"/>
      <c r="C67" s="152"/>
      <c r="D67" s="153"/>
      <c r="E67" s="153"/>
      <c r="F67" s="154"/>
      <c r="G67" s="154"/>
      <c r="H67" s="154"/>
      <c r="I67" s="155"/>
      <c r="J67" s="154"/>
      <c r="K67" s="155"/>
      <c r="L67" s="155"/>
      <c r="M67" s="155"/>
      <c r="N67" s="155"/>
      <c r="O67" s="155"/>
      <c r="P67" s="155"/>
      <c r="Q67" s="646" t="s">
        <v>158</v>
      </c>
      <c r="R67" s="646"/>
      <c r="S67" s="646"/>
      <c r="T67" s="646"/>
      <c r="U67" s="647"/>
      <c r="V67" s="156">
        <f>+V63</f>
        <v>2</v>
      </c>
      <c r="W67" s="156">
        <f>+W63</f>
        <v>3</v>
      </c>
      <c r="X67" s="156">
        <f>+X63</f>
        <v>3</v>
      </c>
      <c r="Y67" s="156">
        <f>+Y63</f>
        <v>4</v>
      </c>
      <c r="Z67" s="157"/>
      <c r="AA67" s="157"/>
      <c r="AB67" s="157"/>
      <c r="AC67" s="157"/>
      <c r="AD67" s="158"/>
      <c r="AE67" s="157"/>
      <c r="AF67" s="157"/>
      <c r="AG67" s="157"/>
      <c r="AH67" s="157"/>
      <c r="AI67" s="157"/>
      <c r="AJ67" s="157"/>
      <c r="AK67" s="157"/>
      <c r="AL67" s="157"/>
      <c r="AM67" s="157"/>
      <c r="AN67" s="157"/>
      <c r="AO67" s="157"/>
      <c r="AP67" s="157"/>
      <c r="AQ67" s="157"/>
      <c r="AR67" s="157"/>
      <c r="AS67" s="157"/>
      <c r="AT67" s="94"/>
      <c r="AU67" s="48"/>
      <c r="AV67" s="48"/>
      <c r="AW67" s="48"/>
      <c r="AX67" s="48"/>
      <c r="AY67" s="48"/>
      <c r="AZ67" s="48"/>
      <c r="BA67" s="48"/>
      <c r="BB67" s="48"/>
      <c r="BC67" s="48"/>
      <c r="BD67" s="48"/>
      <c r="BE67" s="48"/>
      <c r="BF67" s="49"/>
    </row>
    <row r="68" spans="1:58" ht="20.100000000000001" hidden="1" customHeight="1" x14ac:dyDescent="0.25">
      <c r="A68" s="44"/>
      <c r="B68" s="151"/>
      <c r="C68" s="152"/>
      <c r="D68" s="153"/>
      <c r="E68" s="153"/>
      <c r="F68" s="154"/>
      <c r="G68" s="154"/>
      <c r="H68" s="154"/>
      <c r="I68" s="155"/>
      <c r="J68" s="154"/>
      <c r="K68" s="155"/>
      <c r="L68" s="155"/>
      <c r="M68" s="155"/>
      <c r="N68" s="155"/>
      <c r="O68" s="155"/>
      <c r="P68" s="155"/>
      <c r="Q68" s="646" t="s">
        <v>159</v>
      </c>
      <c r="R68" s="646"/>
      <c r="S68" s="646"/>
      <c r="T68" s="646"/>
      <c r="U68" s="647"/>
      <c r="V68" s="160">
        <v>1</v>
      </c>
      <c r="W68" s="161">
        <v>3</v>
      </c>
      <c r="X68" s="161">
        <v>1</v>
      </c>
      <c r="Y68" s="161"/>
      <c r="Z68" s="157"/>
      <c r="AA68" s="157"/>
      <c r="AB68" s="157"/>
      <c r="AC68" s="157"/>
      <c r="AD68" s="158"/>
      <c r="AE68" s="157"/>
      <c r="AF68" s="157"/>
      <c r="AG68" s="157"/>
      <c r="AH68" s="157"/>
      <c r="AI68" s="157"/>
      <c r="AJ68" s="157"/>
      <c r="AK68" s="157"/>
      <c r="AL68" s="157"/>
      <c r="AM68" s="157"/>
      <c r="AN68" s="157"/>
      <c r="AO68" s="157"/>
      <c r="AP68" s="157"/>
      <c r="AQ68" s="157"/>
      <c r="AR68" s="157"/>
      <c r="AS68" s="157"/>
      <c r="AT68" s="48"/>
      <c r="AU68" s="48"/>
      <c r="AV68" s="48"/>
      <c r="AW68" s="48"/>
      <c r="AX68" s="48"/>
      <c r="AY68" s="48"/>
      <c r="AZ68" s="48"/>
      <c r="BA68" s="48"/>
      <c r="BB68" s="48"/>
      <c r="BC68" s="48"/>
      <c r="BD68" s="48"/>
      <c r="BE68" s="48"/>
      <c r="BF68" s="49"/>
    </row>
    <row r="69" spans="1:58" ht="15" hidden="1" customHeight="1" x14ac:dyDescent="0.25">
      <c r="A69" s="79"/>
      <c r="B69" s="80"/>
      <c r="C69" s="88"/>
      <c r="D69" s="82"/>
      <c r="E69" s="82"/>
      <c r="F69" s="46"/>
      <c r="G69" s="46"/>
      <c r="H69" s="46"/>
      <c r="I69" s="46"/>
      <c r="J69" s="83"/>
      <c r="K69" s="46"/>
      <c r="L69" s="46"/>
      <c r="M69" s="46"/>
      <c r="N69" s="46"/>
      <c r="O69" s="46"/>
      <c r="P69" s="46"/>
      <c r="Q69" s="46"/>
      <c r="R69" s="46"/>
      <c r="S69" s="46"/>
      <c r="T69" s="46"/>
      <c r="U69" s="46"/>
      <c r="V69" s="73"/>
      <c r="W69" s="73"/>
      <c r="X69" s="73"/>
      <c r="Y69" s="73"/>
      <c r="Z69" s="46"/>
      <c r="AA69" s="46"/>
      <c r="AB69" s="46"/>
      <c r="AC69" s="46"/>
      <c r="AD69" s="47"/>
      <c r="AE69" s="48"/>
      <c r="AF69" s="48"/>
      <c r="AG69" s="48"/>
      <c r="AH69" s="48"/>
      <c r="AI69" s="48"/>
      <c r="AJ69" s="48"/>
      <c r="AK69" s="48"/>
      <c r="AL69" s="48"/>
      <c r="AM69" s="48"/>
      <c r="AN69" s="48"/>
      <c r="AO69" s="48"/>
      <c r="AP69" s="48"/>
      <c r="AQ69" s="48"/>
      <c r="AR69" s="48"/>
      <c r="AS69" s="48"/>
      <c r="AT69" s="32"/>
      <c r="AU69" s="48"/>
      <c r="AV69" s="48"/>
      <c r="AW69" s="48"/>
      <c r="AX69" s="48"/>
      <c r="AY69" s="48"/>
      <c r="AZ69" s="48"/>
      <c r="BA69" s="48"/>
      <c r="BB69" s="48"/>
      <c r="BC69" s="48"/>
      <c r="BD69" s="48"/>
      <c r="BE69" s="48"/>
      <c r="BF69" s="49"/>
    </row>
    <row r="70" spans="1:58" ht="20.100000000000001" hidden="1" customHeight="1" x14ac:dyDescent="0.25">
      <c r="A70" s="79"/>
      <c r="B70" s="80"/>
      <c r="C70" s="85"/>
      <c r="D70" s="109" t="s">
        <v>103</v>
      </c>
      <c r="E70" s="82"/>
      <c r="F70" s="46"/>
      <c r="G70" s="46"/>
      <c r="H70" s="46"/>
      <c r="I70" s="46"/>
      <c r="J70" s="83"/>
      <c r="K70" s="46"/>
      <c r="L70" s="46"/>
      <c r="M70" s="46"/>
      <c r="N70" s="46"/>
      <c r="O70" s="46"/>
      <c r="P70" s="46"/>
      <c r="Q70" s="46"/>
      <c r="R70" s="46"/>
      <c r="S70" s="46"/>
      <c r="T70" s="46"/>
      <c r="U70" s="46"/>
      <c r="V70" s="42"/>
      <c r="W70" s="46"/>
      <c r="X70" s="46"/>
      <c r="Y70" s="46"/>
      <c r="Z70" s="46"/>
      <c r="AA70" s="46"/>
      <c r="AB70" s="46"/>
      <c r="AC70" s="46"/>
      <c r="AD70" s="47"/>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9"/>
    </row>
    <row r="71" spans="1:58" ht="20.100000000000001" customHeight="1" x14ac:dyDescent="0.25">
      <c r="A71" s="79"/>
      <c r="B71" s="80"/>
      <c r="C71" s="85"/>
      <c r="D71" s="1136" t="s">
        <v>16</v>
      </c>
      <c r="E71" s="1136"/>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c r="AL71" s="1136"/>
      <c r="AM71" s="1136"/>
      <c r="AN71" s="1136"/>
      <c r="AO71" s="1136"/>
      <c r="AP71" s="1136"/>
      <c r="AQ71" s="1136"/>
      <c r="AR71" s="1136"/>
      <c r="AS71" s="1136"/>
      <c r="AT71" s="561" t="s">
        <v>104</v>
      </c>
      <c r="AU71" s="563"/>
      <c r="AV71" s="563"/>
      <c r="AW71" s="563"/>
      <c r="AX71" s="563"/>
      <c r="AY71" s="563"/>
      <c r="AZ71" s="563"/>
      <c r="BA71" s="563"/>
      <c r="BB71" s="562"/>
      <c r="BC71" s="561" t="s">
        <v>105</v>
      </c>
      <c r="BD71" s="562"/>
      <c r="BE71" s="48"/>
      <c r="BF71" s="49"/>
    </row>
    <row r="72" spans="1:58" ht="15" customHeight="1" x14ac:dyDescent="0.25">
      <c r="A72" s="79"/>
      <c r="B72" s="80"/>
      <c r="C72" s="85"/>
      <c r="D72" s="691" t="s">
        <v>106</v>
      </c>
      <c r="E72" s="691" t="s">
        <v>107</v>
      </c>
      <c r="F72" s="711" t="s">
        <v>108</v>
      </c>
      <c r="G72" s="691" t="s">
        <v>109</v>
      </c>
      <c r="H72" s="711" t="s">
        <v>110</v>
      </c>
      <c r="I72" s="691" t="s">
        <v>51</v>
      </c>
      <c r="J72" s="712" t="s">
        <v>111</v>
      </c>
      <c r="K72" s="691" t="s">
        <v>52</v>
      </c>
      <c r="L72" s="691"/>
      <c r="M72" s="691"/>
      <c r="N72" s="691" t="s">
        <v>53</v>
      </c>
      <c r="O72" s="691" t="s">
        <v>54</v>
      </c>
      <c r="P72" s="703" t="s">
        <v>55</v>
      </c>
      <c r="Q72" s="703" t="s">
        <v>56</v>
      </c>
      <c r="R72" s="703" t="s">
        <v>57</v>
      </c>
      <c r="S72" s="703" t="s">
        <v>58</v>
      </c>
      <c r="T72" s="703" t="s">
        <v>59</v>
      </c>
      <c r="U72" s="691" t="s">
        <v>60</v>
      </c>
      <c r="V72" s="691"/>
      <c r="W72" s="691"/>
      <c r="X72" s="691"/>
      <c r="Y72" s="691"/>
      <c r="Z72" s="704" t="s">
        <v>61</v>
      </c>
      <c r="AA72" s="705"/>
      <c r="AB72" s="705"/>
      <c r="AC72" s="706"/>
      <c r="AD72" s="707" t="s">
        <v>62</v>
      </c>
      <c r="AE72" s="708"/>
      <c r="AF72" s="709"/>
      <c r="AG72" s="695" t="s">
        <v>63</v>
      </c>
      <c r="AH72" s="695" t="s">
        <v>64</v>
      </c>
      <c r="AI72" s="695" t="s">
        <v>65</v>
      </c>
      <c r="AJ72" s="691" t="s">
        <v>66</v>
      </c>
      <c r="AK72" s="691"/>
      <c r="AL72" s="691"/>
      <c r="AM72" s="691"/>
      <c r="AN72" s="691"/>
      <c r="AO72" s="691"/>
      <c r="AP72" s="691"/>
      <c r="AQ72" s="691"/>
      <c r="AR72" s="691"/>
      <c r="AS72" s="691"/>
      <c r="AT72" s="558" t="s">
        <v>60</v>
      </c>
      <c r="AU72" s="569" t="s">
        <v>112</v>
      </c>
      <c r="AV72" s="570"/>
      <c r="AW72" s="570"/>
      <c r="AX72" s="571"/>
      <c r="AY72" s="569" t="s">
        <v>113</v>
      </c>
      <c r="AZ72" s="570"/>
      <c r="BA72" s="570"/>
      <c r="BB72" s="571"/>
      <c r="BC72" s="584" t="s">
        <v>114</v>
      </c>
      <c r="BD72" s="587" t="s">
        <v>102</v>
      </c>
      <c r="BE72" s="48"/>
      <c r="BF72" s="49"/>
    </row>
    <row r="73" spans="1:58" ht="15" customHeight="1" x14ac:dyDescent="0.25">
      <c r="A73" s="79"/>
      <c r="B73" s="80"/>
      <c r="C73" s="85"/>
      <c r="D73" s="691"/>
      <c r="E73" s="691"/>
      <c r="F73" s="711"/>
      <c r="G73" s="691"/>
      <c r="H73" s="711"/>
      <c r="I73" s="691"/>
      <c r="J73" s="712"/>
      <c r="K73" s="691"/>
      <c r="L73" s="691"/>
      <c r="M73" s="691"/>
      <c r="N73" s="691"/>
      <c r="O73" s="691"/>
      <c r="P73" s="703"/>
      <c r="Q73" s="703"/>
      <c r="R73" s="703"/>
      <c r="S73" s="703"/>
      <c r="T73" s="703"/>
      <c r="U73" s="691" t="s">
        <v>67</v>
      </c>
      <c r="V73" s="691"/>
      <c r="W73" s="691"/>
      <c r="X73" s="691"/>
      <c r="Y73" s="691"/>
      <c r="Z73" s="692" t="s">
        <v>67</v>
      </c>
      <c r="AA73" s="693"/>
      <c r="AB73" s="693"/>
      <c r="AC73" s="694"/>
      <c r="AD73" s="695" t="s">
        <v>68</v>
      </c>
      <c r="AE73" s="695" t="s">
        <v>69</v>
      </c>
      <c r="AF73" s="695" t="s">
        <v>70</v>
      </c>
      <c r="AG73" s="696"/>
      <c r="AH73" s="696"/>
      <c r="AI73" s="696"/>
      <c r="AJ73" s="691"/>
      <c r="AK73" s="691"/>
      <c r="AL73" s="691"/>
      <c r="AM73" s="691"/>
      <c r="AN73" s="691"/>
      <c r="AO73" s="691"/>
      <c r="AP73" s="691"/>
      <c r="AQ73" s="691"/>
      <c r="AR73" s="691"/>
      <c r="AS73" s="691"/>
      <c r="AT73" s="559"/>
      <c r="AU73" s="572"/>
      <c r="AV73" s="573"/>
      <c r="AW73" s="573"/>
      <c r="AX73" s="574"/>
      <c r="AY73" s="572"/>
      <c r="AZ73" s="573"/>
      <c r="BA73" s="573"/>
      <c r="BB73" s="574"/>
      <c r="BC73" s="585"/>
      <c r="BD73" s="588"/>
      <c r="BE73" s="48"/>
      <c r="BF73" s="49"/>
    </row>
    <row r="74" spans="1:58" s="95" customFormat="1" ht="24" customHeight="1" thickBot="1" x14ac:dyDescent="0.3">
      <c r="A74" s="86"/>
      <c r="B74" s="87"/>
      <c r="C74" s="88"/>
      <c r="D74" s="691"/>
      <c r="E74" s="691"/>
      <c r="F74" s="711"/>
      <c r="G74" s="691"/>
      <c r="H74" s="711"/>
      <c r="I74" s="691"/>
      <c r="J74" s="712"/>
      <c r="K74" s="89" t="s">
        <v>71</v>
      </c>
      <c r="L74" s="89" t="s">
        <v>115</v>
      </c>
      <c r="M74" s="89" t="s">
        <v>72</v>
      </c>
      <c r="N74" s="691"/>
      <c r="O74" s="691"/>
      <c r="P74" s="703"/>
      <c r="Q74" s="703"/>
      <c r="R74" s="703"/>
      <c r="S74" s="703"/>
      <c r="T74" s="703"/>
      <c r="U74" s="90" t="s">
        <v>73</v>
      </c>
      <c r="V74" s="89">
        <v>1</v>
      </c>
      <c r="W74" s="91">
        <v>2</v>
      </c>
      <c r="X74" s="91">
        <v>3</v>
      </c>
      <c r="Y74" s="110">
        <v>4</v>
      </c>
      <c r="Z74" s="162">
        <v>1</v>
      </c>
      <c r="AA74" s="110">
        <v>2</v>
      </c>
      <c r="AB74" s="110">
        <v>3</v>
      </c>
      <c r="AC74" s="110">
        <v>4</v>
      </c>
      <c r="AD74" s="696"/>
      <c r="AE74" s="696"/>
      <c r="AF74" s="696"/>
      <c r="AG74" s="696"/>
      <c r="AH74" s="696"/>
      <c r="AI74" s="697"/>
      <c r="AJ74" s="89" t="s">
        <v>74</v>
      </c>
      <c r="AK74" s="91" t="s">
        <v>75</v>
      </c>
      <c r="AL74" s="91" t="s">
        <v>76</v>
      </c>
      <c r="AM74" s="91" t="s">
        <v>77</v>
      </c>
      <c r="AN74" s="92" t="s">
        <v>78</v>
      </c>
      <c r="AO74" s="92" t="s">
        <v>79</v>
      </c>
      <c r="AP74" s="92" t="s">
        <v>80</v>
      </c>
      <c r="AQ74" s="92" t="s">
        <v>81</v>
      </c>
      <c r="AR74" s="93" t="s">
        <v>82</v>
      </c>
      <c r="AS74" s="93" t="s">
        <v>83</v>
      </c>
      <c r="AT74" s="560"/>
      <c r="AU74" s="111" t="s">
        <v>116</v>
      </c>
      <c r="AV74" s="111" t="s">
        <v>117</v>
      </c>
      <c r="AW74" s="111" t="s">
        <v>118</v>
      </c>
      <c r="AX74" s="111" t="s">
        <v>119</v>
      </c>
      <c r="AY74" s="111" t="s">
        <v>116</v>
      </c>
      <c r="AZ74" s="111" t="s">
        <v>117</v>
      </c>
      <c r="BA74" s="111" t="s">
        <v>118</v>
      </c>
      <c r="BB74" s="111" t="s">
        <v>119</v>
      </c>
      <c r="BC74" s="586"/>
      <c r="BD74" s="589"/>
      <c r="BE74" s="48"/>
      <c r="BF74" s="49"/>
    </row>
    <row r="75" spans="1:58" s="168" customFormat="1" ht="24.95" customHeight="1" x14ac:dyDescent="0.25">
      <c r="A75" s="731"/>
      <c r="B75" s="664"/>
      <c r="C75" s="665">
        <v>1</v>
      </c>
      <c r="D75" s="1116" t="s">
        <v>16</v>
      </c>
      <c r="E75" s="1014" t="s">
        <v>160</v>
      </c>
      <c r="F75" s="826">
        <v>1</v>
      </c>
      <c r="G75" s="870" t="s">
        <v>161</v>
      </c>
      <c r="H75" s="1125">
        <v>0.25</v>
      </c>
      <c r="I75" s="1124" t="s">
        <v>162</v>
      </c>
      <c r="J75" s="1125">
        <v>1</v>
      </c>
      <c r="K75" s="829" t="s">
        <v>163</v>
      </c>
      <c r="L75" s="866" t="s">
        <v>164</v>
      </c>
      <c r="M75" s="667" t="str">
        <f t="shared" ref="M75:M84" si="28">CONCATENATE(U75,$U$32,U76)</f>
        <v>Número de estrategias digitales comunicadas a través de los diferentes canales insticionales / Número de eventos programados</v>
      </c>
      <c r="N75" s="870" t="s">
        <v>165</v>
      </c>
      <c r="O75" s="870" t="s">
        <v>166</v>
      </c>
      <c r="P75" s="719">
        <v>0.2</v>
      </c>
      <c r="Q75" s="719">
        <v>1</v>
      </c>
      <c r="R75" s="719">
        <v>1</v>
      </c>
      <c r="S75" s="824">
        <v>1</v>
      </c>
      <c r="T75" s="808" t="s">
        <v>151</v>
      </c>
      <c r="U75" s="163" t="s">
        <v>167</v>
      </c>
      <c r="V75" s="164"/>
      <c r="W75" s="164"/>
      <c r="X75" s="164"/>
      <c r="Y75" s="164"/>
      <c r="Z75" s="165"/>
      <c r="AA75" s="165"/>
      <c r="AB75" s="165"/>
      <c r="AC75" s="165"/>
      <c r="AD75" s="1004">
        <f>+AE75+AF75+AG75</f>
        <v>0</v>
      </c>
      <c r="AE75" s="1118">
        <v>0</v>
      </c>
      <c r="AF75" s="1118">
        <v>0</v>
      </c>
      <c r="AG75" s="1118">
        <v>0</v>
      </c>
      <c r="AH75" s="735" t="s">
        <v>168</v>
      </c>
      <c r="AI75" s="735" t="s">
        <v>169</v>
      </c>
      <c r="AJ75" s="735" t="s">
        <v>94</v>
      </c>
      <c r="AK75" s="735"/>
      <c r="AL75" s="735"/>
      <c r="AM75" s="735"/>
      <c r="AN75" s="735"/>
      <c r="AO75" s="735" t="s">
        <v>94</v>
      </c>
      <c r="AP75" s="735"/>
      <c r="AQ75" s="735" t="s">
        <v>94</v>
      </c>
      <c r="AR75" s="735"/>
      <c r="AS75" s="1135"/>
      <c r="AT75" s="166" t="s">
        <v>129</v>
      </c>
      <c r="AU75" s="116">
        <f t="shared" ref="AU75:BB75" si="29">+V77*$J$75</f>
        <v>0</v>
      </c>
      <c r="AV75" s="116">
        <f t="shared" si="29"/>
        <v>0</v>
      </c>
      <c r="AW75" s="116">
        <f t="shared" si="29"/>
        <v>0</v>
      </c>
      <c r="AX75" s="116">
        <f t="shared" si="29"/>
        <v>0</v>
      </c>
      <c r="AY75" s="116">
        <f t="shared" si="29"/>
        <v>0</v>
      </c>
      <c r="AZ75" s="116">
        <f t="shared" si="29"/>
        <v>0</v>
      </c>
      <c r="BA75" s="116">
        <f t="shared" si="29"/>
        <v>0</v>
      </c>
      <c r="BB75" s="167">
        <f t="shared" si="29"/>
        <v>0</v>
      </c>
      <c r="BC75" s="1126">
        <f>+BB77</f>
        <v>0</v>
      </c>
      <c r="BD75" s="1129">
        <f>+BC75</f>
        <v>0</v>
      </c>
      <c r="BE75" s="1132"/>
      <c r="BF75" s="1133"/>
    </row>
    <row r="76" spans="1:58" s="168" customFormat="1" ht="24.95" customHeight="1" thickBot="1" x14ac:dyDescent="0.3">
      <c r="A76" s="731"/>
      <c r="B76" s="664"/>
      <c r="C76" s="665"/>
      <c r="D76" s="1116"/>
      <c r="E76" s="1015"/>
      <c r="F76" s="827"/>
      <c r="G76" s="870"/>
      <c r="H76" s="1125"/>
      <c r="I76" s="1124"/>
      <c r="J76" s="1125"/>
      <c r="K76" s="829"/>
      <c r="L76" s="866"/>
      <c r="M76" s="667"/>
      <c r="N76" s="870"/>
      <c r="O76" s="870"/>
      <c r="P76" s="719"/>
      <c r="Q76" s="719"/>
      <c r="R76" s="719"/>
      <c r="S76" s="824"/>
      <c r="T76" s="808"/>
      <c r="U76" s="169" t="s">
        <v>170</v>
      </c>
      <c r="V76" s="170">
        <v>1</v>
      </c>
      <c r="W76" s="170">
        <v>1</v>
      </c>
      <c r="X76" s="170">
        <v>1</v>
      </c>
      <c r="Y76" s="170">
        <v>1</v>
      </c>
      <c r="Z76" s="171">
        <f>+V76</f>
        <v>1</v>
      </c>
      <c r="AA76" s="171">
        <f>+V76+W76</f>
        <v>2</v>
      </c>
      <c r="AB76" s="171">
        <f>+V76+W76+X76</f>
        <v>3</v>
      </c>
      <c r="AC76" s="171">
        <f>+V76+W76+X76+Y76</f>
        <v>4</v>
      </c>
      <c r="AD76" s="1005"/>
      <c r="AE76" s="1118"/>
      <c r="AF76" s="1118"/>
      <c r="AG76" s="1118"/>
      <c r="AH76" s="735"/>
      <c r="AI76" s="735"/>
      <c r="AJ76" s="735"/>
      <c r="AK76" s="735"/>
      <c r="AL76" s="735"/>
      <c r="AM76" s="735"/>
      <c r="AN76" s="735"/>
      <c r="AO76" s="735"/>
      <c r="AP76" s="735"/>
      <c r="AQ76" s="735"/>
      <c r="AR76" s="735"/>
      <c r="AS76" s="1135"/>
      <c r="AT76" s="166" t="s">
        <v>131</v>
      </c>
      <c r="AU76" s="123">
        <f>+AU75*$H$75</f>
        <v>0</v>
      </c>
      <c r="AV76" s="123">
        <f t="shared" ref="AV76:BB76" si="30">+AV75*$H$75</f>
        <v>0</v>
      </c>
      <c r="AW76" s="123">
        <f t="shared" si="30"/>
        <v>0</v>
      </c>
      <c r="AX76" s="123">
        <f t="shared" si="30"/>
        <v>0</v>
      </c>
      <c r="AY76" s="123">
        <f t="shared" si="30"/>
        <v>0</v>
      </c>
      <c r="AZ76" s="123">
        <f t="shared" si="30"/>
        <v>0</v>
      </c>
      <c r="BA76" s="123">
        <f t="shared" si="30"/>
        <v>0</v>
      </c>
      <c r="BB76" s="126">
        <f t="shared" si="30"/>
        <v>0</v>
      </c>
      <c r="BC76" s="1127"/>
      <c r="BD76" s="1130"/>
      <c r="BE76" s="1132"/>
      <c r="BF76" s="1133"/>
    </row>
    <row r="77" spans="1:58" s="168" customFormat="1" ht="24.95" customHeight="1" thickBot="1" x14ac:dyDescent="0.3">
      <c r="A77" s="731"/>
      <c r="B77" s="664"/>
      <c r="C77" s="665"/>
      <c r="D77" s="1116"/>
      <c r="E77" s="1015"/>
      <c r="F77" s="827"/>
      <c r="G77" s="870"/>
      <c r="H77" s="1125"/>
      <c r="I77" s="1124"/>
      <c r="J77" s="1125"/>
      <c r="K77" s="829"/>
      <c r="L77" s="866"/>
      <c r="M77" s="667"/>
      <c r="N77" s="870"/>
      <c r="O77" s="870"/>
      <c r="P77" s="719"/>
      <c r="Q77" s="719"/>
      <c r="R77" s="719"/>
      <c r="S77" s="824"/>
      <c r="T77" s="808"/>
      <c r="U77" s="172" t="s">
        <v>96</v>
      </c>
      <c r="V77" s="116">
        <f t="shared" ref="V77:AC77" si="31">IF((V75/V76)&lt;$I$8,(V75/V76),IF((V75/V76)&lt;$J$8,(V75/V76),IF((V75/V76)&lt;$J$9,(V75/V76),IF((V75/V76)&gt;=$J$9,$J$9))))</f>
        <v>0</v>
      </c>
      <c r="W77" s="116">
        <f t="shared" si="31"/>
        <v>0</v>
      </c>
      <c r="X77" s="116">
        <f t="shared" si="31"/>
        <v>0</v>
      </c>
      <c r="Y77" s="116">
        <f t="shared" si="31"/>
        <v>0</v>
      </c>
      <c r="Z77" s="116">
        <f t="shared" si="31"/>
        <v>0</v>
      </c>
      <c r="AA77" s="116">
        <f t="shared" si="31"/>
        <v>0</v>
      </c>
      <c r="AB77" s="116">
        <f t="shared" si="31"/>
        <v>0</v>
      </c>
      <c r="AC77" s="116">
        <f t="shared" si="31"/>
        <v>0</v>
      </c>
      <c r="AD77" s="1006"/>
      <c r="AE77" s="1118"/>
      <c r="AF77" s="1118"/>
      <c r="AG77" s="1118"/>
      <c r="AH77" s="735"/>
      <c r="AI77" s="735"/>
      <c r="AJ77" s="735"/>
      <c r="AK77" s="735"/>
      <c r="AL77" s="735"/>
      <c r="AM77" s="735"/>
      <c r="AN77" s="735"/>
      <c r="AO77" s="735"/>
      <c r="AP77" s="735"/>
      <c r="AQ77" s="735"/>
      <c r="AR77" s="735"/>
      <c r="AS77" s="1135"/>
      <c r="AT77" s="166" t="s">
        <v>132</v>
      </c>
      <c r="AU77" s="123">
        <f>+(AU76+AU79+AU82+AU85)</f>
        <v>0</v>
      </c>
      <c r="AV77" s="123">
        <f t="shared" ref="AV77:BB77" si="32">+(AV76+AV79+AV82+AV85)</f>
        <v>0</v>
      </c>
      <c r="AW77" s="123">
        <f t="shared" si="32"/>
        <v>0</v>
      </c>
      <c r="AX77" s="123">
        <f t="shared" si="32"/>
        <v>0</v>
      </c>
      <c r="AY77" s="123">
        <f t="shared" si="32"/>
        <v>0</v>
      </c>
      <c r="AZ77" s="123">
        <f t="shared" si="32"/>
        <v>0</v>
      </c>
      <c r="BA77" s="123">
        <f t="shared" si="32"/>
        <v>0</v>
      </c>
      <c r="BB77" s="127">
        <f t="shared" si="32"/>
        <v>0</v>
      </c>
      <c r="BC77" s="1127"/>
      <c r="BD77" s="1130"/>
      <c r="BE77" s="1132"/>
      <c r="BF77" s="1133"/>
    </row>
    <row r="78" spans="1:58" s="168" customFormat="1" ht="24.95" customHeight="1" x14ac:dyDescent="0.25">
      <c r="A78" s="731"/>
      <c r="B78" s="664"/>
      <c r="C78" s="673">
        <v>2</v>
      </c>
      <c r="D78" s="1116"/>
      <c r="E78" s="1015"/>
      <c r="F78" s="827"/>
      <c r="G78" s="870" t="s">
        <v>171</v>
      </c>
      <c r="H78" s="1125">
        <v>0.25</v>
      </c>
      <c r="I78" s="1124" t="s">
        <v>172</v>
      </c>
      <c r="J78" s="1125">
        <v>1</v>
      </c>
      <c r="K78" s="829" t="s">
        <v>173</v>
      </c>
      <c r="L78" s="866" t="s">
        <v>174</v>
      </c>
      <c r="M78" s="667" t="str">
        <f t="shared" si="28"/>
        <v>Número de eventos realizados / Número de eventos programados</v>
      </c>
      <c r="N78" s="870" t="s">
        <v>175</v>
      </c>
      <c r="O78" s="870" t="s">
        <v>176</v>
      </c>
      <c r="P78" s="719">
        <v>0.1</v>
      </c>
      <c r="Q78" s="719">
        <v>1</v>
      </c>
      <c r="R78" s="719">
        <v>1</v>
      </c>
      <c r="S78" s="824">
        <v>1</v>
      </c>
      <c r="T78" s="808" t="s">
        <v>151</v>
      </c>
      <c r="U78" s="163" t="s">
        <v>177</v>
      </c>
      <c r="V78" s="164"/>
      <c r="W78" s="164"/>
      <c r="X78" s="164"/>
      <c r="Y78" s="164"/>
      <c r="Z78" s="165"/>
      <c r="AA78" s="165"/>
      <c r="AB78" s="165"/>
      <c r="AC78" s="165"/>
      <c r="AD78" s="1004">
        <f>+AE78+AF78+AG78</f>
        <v>0</v>
      </c>
      <c r="AE78" s="1118">
        <v>0</v>
      </c>
      <c r="AF78" s="1118">
        <v>0</v>
      </c>
      <c r="AG78" s="1118">
        <v>0</v>
      </c>
      <c r="AH78" s="735" t="s">
        <v>168</v>
      </c>
      <c r="AI78" s="735" t="s">
        <v>169</v>
      </c>
      <c r="AJ78" s="734" t="s">
        <v>94</v>
      </c>
      <c r="AK78" s="734"/>
      <c r="AL78" s="734"/>
      <c r="AM78" s="734"/>
      <c r="AN78" s="734"/>
      <c r="AO78" s="734" t="s">
        <v>94</v>
      </c>
      <c r="AP78" s="734"/>
      <c r="AQ78" s="734" t="s">
        <v>94</v>
      </c>
      <c r="AR78" s="734"/>
      <c r="AS78" s="1134"/>
      <c r="AT78" s="173" t="s">
        <v>129</v>
      </c>
      <c r="AU78" s="131">
        <f t="shared" ref="AU78:BB78" si="33">+V80*$J$78</f>
        <v>0</v>
      </c>
      <c r="AV78" s="131">
        <f t="shared" si="33"/>
        <v>0</v>
      </c>
      <c r="AW78" s="131">
        <f t="shared" si="33"/>
        <v>0</v>
      </c>
      <c r="AX78" s="116">
        <f t="shared" si="33"/>
        <v>0</v>
      </c>
      <c r="AY78" s="131">
        <f t="shared" si="33"/>
        <v>0</v>
      </c>
      <c r="AZ78" s="131">
        <f t="shared" si="33"/>
        <v>0</v>
      </c>
      <c r="BA78" s="131">
        <f t="shared" si="33"/>
        <v>0</v>
      </c>
      <c r="BB78" s="167">
        <f t="shared" si="33"/>
        <v>0</v>
      </c>
      <c r="BC78" s="1127"/>
      <c r="BD78" s="1130"/>
      <c r="BE78" s="1119"/>
      <c r="BF78" s="1120"/>
    </row>
    <row r="79" spans="1:58" s="168" customFormat="1" ht="24.95" customHeight="1" x14ac:dyDescent="0.25">
      <c r="A79" s="731"/>
      <c r="B79" s="664"/>
      <c r="C79" s="673"/>
      <c r="D79" s="1116"/>
      <c r="E79" s="1015"/>
      <c r="F79" s="827"/>
      <c r="G79" s="870"/>
      <c r="H79" s="1125"/>
      <c r="I79" s="1124"/>
      <c r="J79" s="1125"/>
      <c r="K79" s="829"/>
      <c r="L79" s="866"/>
      <c r="M79" s="667"/>
      <c r="N79" s="870"/>
      <c r="O79" s="870"/>
      <c r="P79" s="719"/>
      <c r="Q79" s="719"/>
      <c r="R79" s="719"/>
      <c r="S79" s="824"/>
      <c r="T79" s="808"/>
      <c r="U79" s="169" t="s">
        <v>170</v>
      </c>
      <c r="V79" s="174">
        <v>0.01</v>
      </c>
      <c r="W79" s="174">
        <v>0.01</v>
      </c>
      <c r="X79" s="174">
        <v>0.01</v>
      </c>
      <c r="Y79" s="170">
        <v>1</v>
      </c>
      <c r="Z79" s="174">
        <v>0.01</v>
      </c>
      <c r="AA79" s="174">
        <v>0.01</v>
      </c>
      <c r="AB79" s="174">
        <v>0.01</v>
      </c>
      <c r="AC79" s="171">
        <v>1</v>
      </c>
      <c r="AD79" s="1005"/>
      <c r="AE79" s="1118"/>
      <c r="AF79" s="1118"/>
      <c r="AG79" s="1118"/>
      <c r="AH79" s="735"/>
      <c r="AI79" s="735"/>
      <c r="AJ79" s="734"/>
      <c r="AK79" s="734"/>
      <c r="AL79" s="734"/>
      <c r="AM79" s="734"/>
      <c r="AN79" s="734"/>
      <c r="AO79" s="734"/>
      <c r="AP79" s="734"/>
      <c r="AQ79" s="734"/>
      <c r="AR79" s="734"/>
      <c r="AS79" s="1134"/>
      <c r="AT79" s="173" t="s">
        <v>131</v>
      </c>
      <c r="AU79" s="123">
        <f>+AU78*$H$78</f>
        <v>0</v>
      </c>
      <c r="AV79" s="123">
        <f t="shared" ref="AV79:BB79" si="34">+AV78*$H$78</f>
        <v>0</v>
      </c>
      <c r="AW79" s="123">
        <f t="shared" si="34"/>
        <v>0</v>
      </c>
      <c r="AX79" s="123">
        <f t="shared" si="34"/>
        <v>0</v>
      </c>
      <c r="AY79" s="123">
        <f t="shared" si="34"/>
        <v>0</v>
      </c>
      <c r="AZ79" s="123">
        <f t="shared" si="34"/>
        <v>0</v>
      </c>
      <c r="BA79" s="123">
        <f t="shared" si="34"/>
        <v>0</v>
      </c>
      <c r="BB79" s="126">
        <f t="shared" si="34"/>
        <v>0</v>
      </c>
      <c r="BC79" s="1127"/>
      <c r="BD79" s="1130"/>
      <c r="BE79" s="1119"/>
      <c r="BF79" s="1120"/>
    </row>
    <row r="80" spans="1:58" s="168" customFormat="1" ht="24.95" customHeight="1" x14ac:dyDescent="0.25">
      <c r="A80" s="731"/>
      <c r="B80" s="664"/>
      <c r="C80" s="673"/>
      <c r="D80" s="1116"/>
      <c r="E80" s="1015"/>
      <c r="F80" s="827"/>
      <c r="G80" s="870"/>
      <c r="H80" s="1125"/>
      <c r="I80" s="1124"/>
      <c r="J80" s="1125"/>
      <c r="K80" s="829"/>
      <c r="L80" s="866"/>
      <c r="M80" s="667"/>
      <c r="N80" s="870"/>
      <c r="O80" s="870"/>
      <c r="P80" s="719"/>
      <c r="Q80" s="719"/>
      <c r="R80" s="719"/>
      <c r="S80" s="824"/>
      <c r="T80" s="808"/>
      <c r="U80" s="172" t="s">
        <v>96</v>
      </c>
      <c r="V80" s="131">
        <f t="shared" ref="V80:AC80" si="35">IF((V78/V79)&lt;$I$8,(V78/V79),IF((V78/V79)&lt;$J$8,(V78/V79),IF((V78/V79)&lt;$J$9,(V78/V79),IF((V78/V79)&gt;=$J$9,$J$9))))</f>
        <v>0</v>
      </c>
      <c r="W80" s="131">
        <f t="shared" si="35"/>
        <v>0</v>
      </c>
      <c r="X80" s="131">
        <f t="shared" si="35"/>
        <v>0</v>
      </c>
      <c r="Y80" s="116">
        <f t="shared" si="35"/>
        <v>0</v>
      </c>
      <c r="Z80" s="131">
        <f t="shared" si="35"/>
        <v>0</v>
      </c>
      <c r="AA80" s="131">
        <f t="shared" si="35"/>
        <v>0</v>
      </c>
      <c r="AB80" s="131">
        <f t="shared" si="35"/>
        <v>0</v>
      </c>
      <c r="AC80" s="116">
        <f t="shared" si="35"/>
        <v>0</v>
      </c>
      <c r="AD80" s="1006"/>
      <c r="AE80" s="1118"/>
      <c r="AF80" s="1118"/>
      <c r="AG80" s="1118"/>
      <c r="AH80" s="735"/>
      <c r="AI80" s="735"/>
      <c r="AJ80" s="734"/>
      <c r="AK80" s="734"/>
      <c r="AL80" s="734"/>
      <c r="AM80" s="734"/>
      <c r="AN80" s="734"/>
      <c r="AO80" s="734"/>
      <c r="AP80" s="734"/>
      <c r="AQ80" s="734"/>
      <c r="AR80" s="734"/>
      <c r="AS80" s="1134"/>
      <c r="AT80" s="173" t="s">
        <v>132</v>
      </c>
      <c r="AU80" s="555"/>
      <c r="AV80" s="556"/>
      <c r="AW80" s="556"/>
      <c r="AX80" s="556"/>
      <c r="AY80" s="556"/>
      <c r="AZ80" s="556"/>
      <c r="BA80" s="556"/>
      <c r="BB80" s="557"/>
      <c r="BC80" s="1127"/>
      <c r="BD80" s="1130"/>
      <c r="BE80" s="1119"/>
      <c r="BF80" s="1120"/>
    </row>
    <row r="81" spans="1:59" s="168" customFormat="1" ht="24.95" customHeight="1" x14ac:dyDescent="0.25">
      <c r="A81" s="731"/>
      <c r="B81" s="664"/>
      <c r="C81" s="665">
        <v>3</v>
      </c>
      <c r="D81" s="1116"/>
      <c r="E81" s="1015"/>
      <c r="F81" s="827"/>
      <c r="G81" s="870" t="s">
        <v>161</v>
      </c>
      <c r="H81" s="1063">
        <v>0.25</v>
      </c>
      <c r="I81" s="1124" t="s">
        <v>178</v>
      </c>
      <c r="J81" s="1063">
        <v>1</v>
      </c>
      <c r="K81" s="870" t="s">
        <v>179</v>
      </c>
      <c r="L81" s="870" t="s">
        <v>180</v>
      </c>
      <c r="M81" s="667" t="str">
        <f t="shared" si="28"/>
        <v>Número de publicaciones obtenidas en medios de comunicación / Número de información enviada</v>
      </c>
      <c r="N81" s="870" t="s">
        <v>181</v>
      </c>
      <c r="O81" s="870" t="s">
        <v>182</v>
      </c>
      <c r="P81" s="939">
        <v>0.2</v>
      </c>
      <c r="Q81" s="733" t="s">
        <v>183</v>
      </c>
      <c r="R81" s="1063">
        <v>1</v>
      </c>
      <c r="S81" s="1063">
        <v>1</v>
      </c>
      <c r="T81" s="808" t="s">
        <v>151</v>
      </c>
      <c r="U81" s="163" t="s">
        <v>184</v>
      </c>
      <c r="V81" s="164"/>
      <c r="W81" s="164"/>
      <c r="X81" s="164"/>
      <c r="Y81" s="164"/>
      <c r="Z81" s="165"/>
      <c r="AA81" s="165"/>
      <c r="AB81" s="165"/>
      <c r="AC81" s="165"/>
      <c r="AD81" s="1004">
        <f>+AE81+AF81+AG81</f>
        <v>0</v>
      </c>
      <c r="AE81" s="1118">
        <v>0</v>
      </c>
      <c r="AF81" s="1118">
        <v>0</v>
      </c>
      <c r="AG81" s="1118">
        <v>0</v>
      </c>
      <c r="AH81" s="735" t="s">
        <v>168</v>
      </c>
      <c r="AI81" s="735" t="s">
        <v>169</v>
      </c>
      <c r="AJ81" s="1117" t="s">
        <v>94</v>
      </c>
      <c r="AK81" s="1117"/>
      <c r="AL81" s="1117"/>
      <c r="AM81" s="1117"/>
      <c r="AN81" s="1117" t="s">
        <v>94</v>
      </c>
      <c r="AO81" s="1117"/>
      <c r="AP81" s="1117"/>
      <c r="AQ81" s="1117" t="s">
        <v>94</v>
      </c>
      <c r="AR81" s="1117"/>
      <c r="AS81" s="1117"/>
      <c r="AT81" s="173" t="s">
        <v>129</v>
      </c>
      <c r="AU81" s="116">
        <f t="shared" ref="AU81:BB81" si="36">+V83*$J$81</f>
        <v>0</v>
      </c>
      <c r="AV81" s="116">
        <f t="shared" si="36"/>
        <v>0</v>
      </c>
      <c r="AW81" s="116">
        <f t="shared" si="36"/>
        <v>0</v>
      </c>
      <c r="AX81" s="116">
        <f t="shared" si="36"/>
        <v>0</v>
      </c>
      <c r="AY81" s="116">
        <f t="shared" si="36"/>
        <v>0</v>
      </c>
      <c r="AZ81" s="116">
        <f t="shared" si="36"/>
        <v>0</v>
      </c>
      <c r="BA81" s="116">
        <f t="shared" si="36"/>
        <v>0</v>
      </c>
      <c r="BB81" s="167">
        <f t="shared" si="36"/>
        <v>0</v>
      </c>
      <c r="BC81" s="1127"/>
      <c r="BD81" s="1130"/>
      <c r="BE81" s="1119"/>
      <c r="BF81" s="1120"/>
      <c r="BG81" s="175"/>
    </row>
    <row r="82" spans="1:59" s="168" customFormat="1" ht="24.95" customHeight="1" x14ac:dyDescent="0.25">
      <c r="A82" s="731"/>
      <c r="B82" s="664"/>
      <c r="C82" s="665"/>
      <c r="D82" s="1116"/>
      <c r="E82" s="1015"/>
      <c r="F82" s="827"/>
      <c r="G82" s="870"/>
      <c r="H82" s="1063"/>
      <c r="I82" s="1124"/>
      <c r="J82" s="1063"/>
      <c r="K82" s="870"/>
      <c r="L82" s="870"/>
      <c r="M82" s="667"/>
      <c r="N82" s="870"/>
      <c r="O82" s="870"/>
      <c r="P82" s="939"/>
      <c r="Q82" s="733"/>
      <c r="R82" s="1063"/>
      <c r="S82" s="1063"/>
      <c r="T82" s="808"/>
      <c r="U82" s="176" t="s">
        <v>185</v>
      </c>
      <c r="V82" s="174">
        <v>12</v>
      </c>
      <c r="W82" s="174">
        <v>16</v>
      </c>
      <c r="X82" s="174">
        <v>0.01</v>
      </c>
      <c r="Y82" s="174">
        <v>0.01</v>
      </c>
      <c r="Z82" s="174">
        <f>+V82</f>
        <v>12</v>
      </c>
      <c r="AA82" s="174">
        <f>+W82</f>
        <v>16</v>
      </c>
      <c r="AB82" s="174">
        <f>+AA82</f>
        <v>16</v>
      </c>
      <c r="AC82" s="174">
        <f>+AB82</f>
        <v>16</v>
      </c>
      <c r="AD82" s="1005"/>
      <c r="AE82" s="1118"/>
      <c r="AF82" s="1118"/>
      <c r="AG82" s="1118"/>
      <c r="AH82" s="735"/>
      <c r="AI82" s="735"/>
      <c r="AJ82" s="1117"/>
      <c r="AK82" s="1117"/>
      <c r="AL82" s="1117"/>
      <c r="AM82" s="1117"/>
      <c r="AN82" s="1117"/>
      <c r="AO82" s="1117"/>
      <c r="AP82" s="1117"/>
      <c r="AQ82" s="1117"/>
      <c r="AR82" s="1117"/>
      <c r="AS82" s="1117"/>
      <c r="AT82" s="173" t="s">
        <v>131</v>
      </c>
      <c r="AU82" s="123">
        <f>+AU81*$H$81</f>
        <v>0</v>
      </c>
      <c r="AV82" s="123">
        <f t="shared" ref="AV82:BB82" si="37">+AV81*$H$81</f>
        <v>0</v>
      </c>
      <c r="AW82" s="123">
        <f t="shared" si="37"/>
        <v>0</v>
      </c>
      <c r="AX82" s="123">
        <f t="shared" si="37"/>
        <v>0</v>
      </c>
      <c r="AY82" s="123">
        <f t="shared" si="37"/>
        <v>0</v>
      </c>
      <c r="AZ82" s="123">
        <f t="shared" si="37"/>
        <v>0</v>
      </c>
      <c r="BA82" s="123">
        <f t="shared" si="37"/>
        <v>0</v>
      </c>
      <c r="BB82" s="126">
        <f t="shared" si="37"/>
        <v>0</v>
      </c>
      <c r="BC82" s="1127"/>
      <c r="BD82" s="1130"/>
      <c r="BE82" s="1119"/>
      <c r="BF82" s="1120"/>
    </row>
    <row r="83" spans="1:59" s="168" customFormat="1" ht="24.95" customHeight="1" x14ac:dyDescent="0.25">
      <c r="A83" s="731"/>
      <c r="B83" s="664"/>
      <c r="C83" s="665"/>
      <c r="D83" s="1116"/>
      <c r="E83" s="1015"/>
      <c r="F83" s="827"/>
      <c r="G83" s="870"/>
      <c r="H83" s="1063"/>
      <c r="I83" s="1124"/>
      <c r="J83" s="1063"/>
      <c r="K83" s="870"/>
      <c r="L83" s="870"/>
      <c r="M83" s="667"/>
      <c r="N83" s="870"/>
      <c r="O83" s="870"/>
      <c r="P83" s="939"/>
      <c r="Q83" s="733"/>
      <c r="R83" s="1063"/>
      <c r="S83" s="1063"/>
      <c r="T83" s="808"/>
      <c r="U83" s="172" t="s">
        <v>96</v>
      </c>
      <c r="V83" s="116">
        <f t="shared" ref="V83:AC83" si="38">IF((V81/V82)&lt;$I$8,(V81/V82),IF((V81/V82)&lt;$J$8,(V81/V82),IF((V81/V82)&lt;$J$9,(V81/V82),IF((V81/V82)&gt;=$J$9,$J$9))))</f>
        <v>0</v>
      </c>
      <c r="W83" s="116">
        <f t="shared" si="38"/>
        <v>0</v>
      </c>
      <c r="X83" s="116">
        <f t="shared" si="38"/>
        <v>0</v>
      </c>
      <c r="Y83" s="116">
        <f t="shared" si="38"/>
        <v>0</v>
      </c>
      <c r="Z83" s="116">
        <f t="shared" si="38"/>
        <v>0</v>
      </c>
      <c r="AA83" s="116">
        <f t="shared" si="38"/>
        <v>0</v>
      </c>
      <c r="AB83" s="116">
        <f t="shared" si="38"/>
        <v>0</v>
      </c>
      <c r="AC83" s="116">
        <f t="shared" si="38"/>
        <v>0</v>
      </c>
      <c r="AD83" s="1006"/>
      <c r="AE83" s="1118"/>
      <c r="AF83" s="1118"/>
      <c r="AG83" s="1118"/>
      <c r="AH83" s="735"/>
      <c r="AI83" s="735"/>
      <c r="AJ83" s="1117"/>
      <c r="AK83" s="1117"/>
      <c r="AL83" s="1117"/>
      <c r="AM83" s="1117"/>
      <c r="AN83" s="1117"/>
      <c r="AO83" s="1117"/>
      <c r="AP83" s="1117"/>
      <c r="AQ83" s="1117"/>
      <c r="AR83" s="1117"/>
      <c r="AS83" s="1117"/>
      <c r="AT83" s="173" t="s">
        <v>132</v>
      </c>
      <c r="AU83" s="555"/>
      <c r="AV83" s="556"/>
      <c r="AW83" s="556"/>
      <c r="AX83" s="556"/>
      <c r="AY83" s="556"/>
      <c r="AZ83" s="556"/>
      <c r="BA83" s="556"/>
      <c r="BB83" s="557"/>
      <c r="BC83" s="1127"/>
      <c r="BD83" s="1130"/>
      <c r="BE83" s="1119"/>
      <c r="BF83" s="1120"/>
    </row>
    <row r="84" spans="1:59" s="168" customFormat="1" ht="24.95" customHeight="1" x14ac:dyDescent="0.25">
      <c r="A84" s="731"/>
      <c r="B84" s="664"/>
      <c r="C84" s="665">
        <v>4</v>
      </c>
      <c r="D84" s="1116"/>
      <c r="E84" s="1015"/>
      <c r="F84" s="827"/>
      <c r="G84" s="870" t="s">
        <v>186</v>
      </c>
      <c r="H84" s="1063">
        <v>0.25</v>
      </c>
      <c r="I84" s="870" t="s">
        <v>187</v>
      </c>
      <c r="J84" s="1063">
        <v>1</v>
      </c>
      <c r="K84" s="870" t="s">
        <v>188</v>
      </c>
      <c r="L84" s="870" t="s">
        <v>189</v>
      </c>
      <c r="M84" s="667" t="str">
        <f t="shared" si="28"/>
        <v>Número de campañas realizadas / Número de Campañas solicitadas</v>
      </c>
      <c r="N84" s="870" t="s">
        <v>181</v>
      </c>
      <c r="O84" s="870" t="s">
        <v>182</v>
      </c>
      <c r="P84" s="939">
        <v>0.2</v>
      </c>
      <c r="Q84" s="733" t="s">
        <v>183</v>
      </c>
      <c r="R84" s="1063">
        <v>1</v>
      </c>
      <c r="S84" s="1063">
        <v>1</v>
      </c>
      <c r="T84" s="808" t="s">
        <v>151</v>
      </c>
      <c r="U84" s="163" t="s">
        <v>190</v>
      </c>
      <c r="V84" s="164"/>
      <c r="W84" s="164"/>
      <c r="X84" s="164"/>
      <c r="Y84" s="164"/>
      <c r="Z84" s="165"/>
      <c r="AA84" s="165"/>
      <c r="AB84" s="165"/>
      <c r="AC84" s="165"/>
      <c r="AD84" s="1004">
        <f>+AE84+AF84+AG84</f>
        <v>0</v>
      </c>
      <c r="AE84" s="1118">
        <v>0</v>
      </c>
      <c r="AF84" s="1118">
        <v>0</v>
      </c>
      <c r="AG84" s="1118">
        <v>0</v>
      </c>
      <c r="AH84" s="735" t="s">
        <v>168</v>
      </c>
      <c r="AI84" s="735" t="s">
        <v>169</v>
      </c>
      <c r="AJ84" s="1117" t="s">
        <v>94</v>
      </c>
      <c r="AK84" s="1117"/>
      <c r="AL84" s="1117"/>
      <c r="AM84" s="1117"/>
      <c r="AN84" s="1117" t="s">
        <v>94</v>
      </c>
      <c r="AO84" s="1117"/>
      <c r="AP84" s="1117"/>
      <c r="AQ84" s="1117" t="s">
        <v>94</v>
      </c>
      <c r="AR84" s="1117"/>
      <c r="AS84" s="1117"/>
      <c r="AT84" s="173" t="s">
        <v>129</v>
      </c>
      <c r="AU84" s="116">
        <f t="shared" ref="AU84:BB84" si="39">+V86*$J$84</f>
        <v>0</v>
      </c>
      <c r="AV84" s="116">
        <f t="shared" si="39"/>
        <v>0</v>
      </c>
      <c r="AW84" s="116">
        <f t="shared" si="39"/>
        <v>0</v>
      </c>
      <c r="AX84" s="116">
        <f t="shared" si="39"/>
        <v>0</v>
      </c>
      <c r="AY84" s="116">
        <f t="shared" si="39"/>
        <v>0</v>
      </c>
      <c r="AZ84" s="116">
        <f t="shared" si="39"/>
        <v>0</v>
      </c>
      <c r="BA84" s="116">
        <f t="shared" si="39"/>
        <v>0</v>
      </c>
      <c r="BB84" s="167">
        <f t="shared" si="39"/>
        <v>0</v>
      </c>
      <c r="BC84" s="1127"/>
      <c r="BD84" s="1130"/>
      <c r="BE84" s="1119"/>
      <c r="BF84" s="1120"/>
      <c r="BG84" s="175"/>
    </row>
    <row r="85" spans="1:59" s="168" customFormat="1" ht="24.95" customHeight="1" x14ac:dyDescent="0.25">
      <c r="A85" s="731"/>
      <c r="B85" s="664"/>
      <c r="C85" s="665"/>
      <c r="D85" s="1116"/>
      <c r="E85" s="1015"/>
      <c r="F85" s="827"/>
      <c r="G85" s="870"/>
      <c r="H85" s="1063"/>
      <c r="I85" s="870"/>
      <c r="J85" s="1063"/>
      <c r="K85" s="870"/>
      <c r="L85" s="870"/>
      <c r="M85" s="667"/>
      <c r="N85" s="870"/>
      <c r="O85" s="870"/>
      <c r="P85" s="939"/>
      <c r="Q85" s="733"/>
      <c r="R85" s="1063"/>
      <c r="S85" s="1063"/>
      <c r="T85" s="808"/>
      <c r="U85" s="176" t="s">
        <v>191</v>
      </c>
      <c r="V85" s="174">
        <v>4</v>
      </c>
      <c r="W85" s="174">
        <v>5</v>
      </c>
      <c r="X85" s="174">
        <v>0.01</v>
      </c>
      <c r="Y85" s="174">
        <v>0.01</v>
      </c>
      <c r="Z85" s="174">
        <f>+V85</f>
        <v>4</v>
      </c>
      <c r="AA85" s="174">
        <f>+W85</f>
        <v>5</v>
      </c>
      <c r="AB85" s="174">
        <v>0.01</v>
      </c>
      <c r="AC85" s="174">
        <v>0.01</v>
      </c>
      <c r="AD85" s="1005"/>
      <c r="AE85" s="1118"/>
      <c r="AF85" s="1118"/>
      <c r="AG85" s="1118"/>
      <c r="AH85" s="735"/>
      <c r="AI85" s="735"/>
      <c r="AJ85" s="1117"/>
      <c r="AK85" s="1117"/>
      <c r="AL85" s="1117"/>
      <c r="AM85" s="1117"/>
      <c r="AN85" s="1117"/>
      <c r="AO85" s="1117"/>
      <c r="AP85" s="1117"/>
      <c r="AQ85" s="1117"/>
      <c r="AR85" s="1117"/>
      <c r="AS85" s="1117"/>
      <c r="AT85" s="173" t="s">
        <v>131</v>
      </c>
      <c r="AU85" s="123">
        <f>+AU84*$H$84</f>
        <v>0</v>
      </c>
      <c r="AV85" s="123">
        <f t="shared" ref="AV85:BB85" si="40">+AV84*$H$84</f>
        <v>0</v>
      </c>
      <c r="AW85" s="123">
        <f t="shared" si="40"/>
        <v>0</v>
      </c>
      <c r="AX85" s="123">
        <f t="shared" si="40"/>
        <v>0</v>
      </c>
      <c r="AY85" s="123">
        <f t="shared" si="40"/>
        <v>0</v>
      </c>
      <c r="AZ85" s="123">
        <f t="shared" si="40"/>
        <v>0</v>
      </c>
      <c r="BA85" s="123">
        <f t="shared" si="40"/>
        <v>0</v>
      </c>
      <c r="BB85" s="126">
        <f t="shared" si="40"/>
        <v>0</v>
      </c>
      <c r="BC85" s="1127"/>
      <c r="BD85" s="1130"/>
      <c r="BE85" s="1119"/>
      <c r="BF85" s="1120"/>
    </row>
    <row r="86" spans="1:59" s="168" customFormat="1" ht="24.95" customHeight="1" thickBot="1" x14ac:dyDescent="0.3">
      <c r="A86" s="731"/>
      <c r="B86" s="664"/>
      <c r="C86" s="665"/>
      <c r="D86" s="1116"/>
      <c r="E86" s="1016"/>
      <c r="F86" s="828"/>
      <c r="G86" s="870"/>
      <c r="H86" s="1063"/>
      <c r="I86" s="870"/>
      <c r="J86" s="1063"/>
      <c r="K86" s="870"/>
      <c r="L86" s="870"/>
      <c r="M86" s="667"/>
      <c r="N86" s="870"/>
      <c r="O86" s="870"/>
      <c r="P86" s="939"/>
      <c r="Q86" s="733"/>
      <c r="R86" s="1063"/>
      <c r="S86" s="1063"/>
      <c r="T86" s="808"/>
      <c r="U86" s="172" t="s">
        <v>96</v>
      </c>
      <c r="V86" s="116">
        <f t="shared" ref="V86:AC86" si="41">IF((V84/V85)&lt;$I$8,(V84/V85),IF((V84/V85)&lt;$J$8,(V84/V85),IF((V84/V85)&lt;$J$9,(V84/V85),IF((V84/V85)&gt;=$J$9,$J$9))))</f>
        <v>0</v>
      </c>
      <c r="W86" s="116">
        <f t="shared" si="41"/>
        <v>0</v>
      </c>
      <c r="X86" s="116">
        <f t="shared" si="41"/>
        <v>0</v>
      </c>
      <c r="Y86" s="116">
        <f t="shared" si="41"/>
        <v>0</v>
      </c>
      <c r="Z86" s="116">
        <f t="shared" si="41"/>
        <v>0</v>
      </c>
      <c r="AA86" s="116">
        <f t="shared" si="41"/>
        <v>0</v>
      </c>
      <c r="AB86" s="116">
        <f t="shared" si="41"/>
        <v>0</v>
      </c>
      <c r="AC86" s="116">
        <f t="shared" si="41"/>
        <v>0</v>
      </c>
      <c r="AD86" s="1006"/>
      <c r="AE86" s="1118"/>
      <c r="AF86" s="1118"/>
      <c r="AG86" s="1118"/>
      <c r="AH86" s="735"/>
      <c r="AI86" s="735"/>
      <c r="AJ86" s="1117"/>
      <c r="AK86" s="1117"/>
      <c r="AL86" s="1117"/>
      <c r="AM86" s="1117"/>
      <c r="AN86" s="1117"/>
      <c r="AO86" s="1117"/>
      <c r="AP86" s="1117"/>
      <c r="AQ86" s="1117"/>
      <c r="AR86" s="1117"/>
      <c r="AS86" s="1117"/>
      <c r="AT86" s="173" t="s">
        <v>132</v>
      </c>
      <c r="AU86" s="1121"/>
      <c r="AV86" s="1122"/>
      <c r="AW86" s="1122"/>
      <c r="AX86" s="1122"/>
      <c r="AY86" s="1122"/>
      <c r="AZ86" s="1122"/>
      <c r="BA86" s="1122"/>
      <c r="BB86" s="1123"/>
      <c r="BC86" s="1128"/>
      <c r="BD86" s="1131"/>
      <c r="BE86" s="1119"/>
      <c r="BF86" s="1120"/>
    </row>
    <row r="87" spans="1:59" s="120" customFormat="1" ht="24.95" hidden="1" customHeight="1" thickBot="1" x14ac:dyDescent="0.3">
      <c r="A87" s="139"/>
      <c r="B87" s="177"/>
      <c r="C87" s="178">
        <f>+C59+C84</f>
        <v>8</v>
      </c>
      <c r="D87" s="143"/>
      <c r="E87" s="143"/>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c r="AE87" s="180"/>
      <c r="AF87" s="180"/>
      <c r="AG87" s="180"/>
      <c r="AH87" s="180"/>
      <c r="AI87" s="180"/>
      <c r="AJ87" s="145">
        <f>COUNTA(AJ75:AJ86)</f>
        <v>4</v>
      </c>
      <c r="AK87" s="145">
        <f t="shared" ref="AK87:AS87" si="42">COUNTA(AK75:AK86)</f>
        <v>0</v>
      </c>
      <c r="AL87" s="145">
        <f t="shared" si="42"/>
        <v>0</v>
      </c>
      <c r="AM87" s="145">
        <f t="shared" si="42"/>
        <v>0</v>
      </c>
      <c r="AN87" s="145">
        <f t="shared" si="42"/>
        <v>2</v>
      </c>
      <c r="AO87" s="145">
        <f t="shared" si="42"/>
        <v>2</v>
      </c>
      <c r="AP87" s="145">
        <f t="shared" si="42"/>
        <v>0</v>
      </c>
      <c r="AQ87" s="145">
        <f t="shared" si="42"/>
        <v>4</v>
      </c>
      <c r="AR87" s="145">
        <f t="shared" si="42"/>
        <v>0</v>
      </c>
      <c r="AS87" s="145">
        <f t="shared" si="42"/>
        <v>0</v>
      </c>
      <c r="AT87" s="180"/>
      <c r="AU87" s="181">
        <f>+AU77</f>
        <v>0</v>
      </c>
      <c r="AV87" s="181">
        <f t="shared" ref="AV87:BB87" si="43">+AV77</f>
        <v>0</v>
      </c>
      <c r="AW87" s="181">
        <f t="shared" si="43"/>
        <v>0</v>
      </c>
      <c r="AX87" s="182">
        <f t="shared" si="43"/>
        <v>0</v>
      </c>
      <c r="AY87" s="148">
        <f t="shared" si="43"/>
        <v>0</v>
      </c>
      <c r="AZ87" s="183">
        <f t="shared" si="43"/>
        <v>0</v>
      </c>
      <c r="BA87" s="181">
        <f t="shared" si="43"/>
        <v>0</v>
      </c>
      <c r="BB87" s="181">
        <f t="shared" si="43"/>
        <v>0</v>
      </c>
      <c r="BC87" s="184"/>
      <c r="BD87" s="184"/>
      <c r="BE87" s="184"/>
      <c r="BF87" s="184"/>
    </row>
    <row r="88" spans="1:59" s="159" customFormat="1" ht="20.100000000000001" hidden="1" customHeight="1" x14ac:dyDescent="0.25">
      <c r="A88" s="44"/>
      <c r="B88" s="151"/>
      <c r="C88" s="185"/>
      <c r="D88" s="153"/>
      <c r="E88" s="153"/>
      <c r="F88" s="154"/>
      <c r="G88" s="154"/>
      <c r="H88" s="154"/>
      <c r="I88" s="155"/>
      <c r="J88" s="154"/>
      <c r="K88" s="155"/>
      <c r="L88" s="155"/>
      <c r="M88" s="155"/>
      <c r="N88" s="155"/>
      <c r="O88" s="155"/>
      <c r="P88" s="155"/>
      <c r="Q88" s="646" t="s">
        <v>154</v>
      </c>
      <c r="R88" s="646"/>
      <c r="S88" s="646"/>
      <c r="T88" s="646"/>
      <c r="U88" s="646"/>
      <c r="V88" s="156">
        <v>3</v>
      </c>
      <c r="W88" s="156">
        <v>3</v>
      </c>
      <c r="X88" s="156">
        <v>3</v>
      </c>
      <c r="Y88" s="156">
        <v>4</v>
      </c>
      <c r="Z88" s="157"/>
      <c r="AA88" s="157"/>
      <c r="AB88" s="157"/>
      <c r="AC88" s="157"/>
      <c r="AD88" s="158"/>
      <c r="AE88" s="157"/>
      <c r="AF88" s="157"/>
      <c r="AG88" s="157"/>
      <c r="AH88" s="157"/>
      <c r="AI88" s="157"/>
      <c r="AJ88" s="157"/>
      <c r="AK88" s="157"/>
      <c r="AL88" s="157"/>
      <c r="AM88" s="157"/>
      <c r="AN88" s="157"/>
      <c r="AO88" s="157"/>
      <c r="AP88" s="157"/>
      <c r="AQ88" s="157"/>
      <c r="AR88" s="157"/>
      <c r="AS88" s="157"/>
      <c r="AT88" s="157"/>
      <c r="AU88" s="48"/>
      <c r="AV88" s="48"/>
      <c r="AW88" s="48"/>
      <c r="AX88" s="48"/>
      <c r="AY88" s="48"/>
      <c r="AZ88" s="48"/>
      <c r="BA88" s="48"/>
      <c r="BB88" s="48"/>
      <c r="BC88" s="48"/>
      <c r="BD88" s="48"/>
      <c r="BE88" s="48"/>
      <c r="BF88" s="49"/>
    </row>
    <row r="89" spans="1:59" s="159" customFormat="1" ht="20.100000000000001" hidden="1" customHeight="1" x14ac:dyDescent="0.25">
      <c r="A89" s="44"/>
      <c r="B89" s="151"/>
      <c r="C89" s="185"/>
      <c r="D89" s="153"/>
      <c r="E89" s="153"/>
      <c r="F89" s="154"/>
      <c r="G89" s="154"/>
      <c r="H89" s="154"/>
      <c r="I89" s="155"/>
      <c r="J89" s="154"/>
      <c r="K89" s="155"/>
      <c r="L89" s="155"/>
      <c r="M89" s="155"/>
      <c r="N89" s="155"/>
      <c r="O89" s="155"/>
      <c r="P89" s="155"/>
      <c r="Q89" s="646" t="s">
        <v>155</v>
      </c>
      <c r="R89" s="646"/>
      <c r="S89" s="646"/>
      <c r="T89" s="646"/>
      <c r="U89" s="646"/>
      <c r="V89" s="161">
        <v>3</v>
      </c>
      <c r="W89" s="161">
        <v>3</v>
      </c>
      <c r="X89" s="161"/>
      <c r="Y89" s="161"/>
      <c r="Z89" s="157"/>
      <c r="AA89" s="157"/>
      <c r="AB89" s="157"/>
      <c r="AC89" s="157"/>
      <c r="AD89" s="158"/>
      <c r="AE89" s="157"/>
      <c r="AF89" s="157"/>
      <c r="AG89" s="157"/>
      <c r="AH89" s="157"/>
      <c r="AI89" s="157"/>
      <c r="AJ89" s="157"/>
      <c r="AK89" s="157"/>
      <c r="AL89" s="157"/>
      <c r="AM89" s="157"/>
      <c r="AN89" s="157"/>
      <c r="AO89" s="157"/>
      <c r="AP89" s="157"/>
      <c r="AQ89" s="157"/>
      <c r="AR89" s="157"/>
      <c r="AS89" s="157"/>
      <c r="AT89" s="157"/>
      <c r="AU89" s="48"/>
      <c r="AV89" s="48"/>
      <c r="AW89" s="48"/>
      <c r="AX89" s="48"/>
      <c r="AY89" s="48"/>
      <c r="AZ89" s="48"/>
      <c r="BA89" s="48"/>
      <c r="BB89" s="48"/>
      <c r="BC89" s="48"/>
      <c r="BD89" s="48"/>
      <c r="BE89" s="48"/>
      <c r="BF89" s="49"/>
    </row>
    <row r="90" spans="1:59" ht="20.100000000000001" hidden="1" customHeight="1" x14ac:dyDescent="0.25">
      <c r="A90" s="44"/>
      <c r="B90" s="151"/>
      <c r="C90" s="152"/>
      <c r="D90" s="153"/>
      <c r="E90" s="153"/>
      <c r="F90" s="154"/>
      <c r="G90" s="186"/>
      <c r="H90" s="157"/>
      <c r="I90" s="155"/>
      <c r="J90" s="154"/>
      <c r="K90" s="155"/>
      <c r="L90" s="155"/>
      <c r="M90" s="155"/>
      <c r="N90" s="155"/>
      <c r="O90" s="155"/>
      <c r="P90" s="155"/>
      <c r="Q90" s="646" t="s">
        <v>156</v>
      </c>
      <c r="R90" s="646"/>
      <c r="S90" s="646"/>
      <c r="T90" s="646"/>
      <c r="U90" s="646"/>
      <c r="V90" s="161">
        <v>3</v>
      </c>
      <c r="W90" s="161">
        <v>3</v>
      </c>
      <c r="X90" s="161"/>
      <c r="Y90" s="161"/>
      <c r="Z90" s="157"/>
      <c r="AA90" s="157"/>
      <c r="AB90" s="157"/>
      <c r="AC90" s="157"/>
      <c r="AD90" s="158"/>
      <c r="AE90" s="157"/>
      <c r="AF90" s="157"/>
      <c r="AG90" s="157"/>
      <c r="AH90" s="157"/>
      <c r="AI90" s="157"/>
      <c r="AJ90" s="157"/>
      <c r="AK90" s="157"/>
      <c r="AL90" s="157"/>
      <c r="AM90" s="157"/>
      <c r="AN90" s="157"/>
      <c r="AO90" s="157"/>
      <c r="AP90" s="157"/>
      <c r="AQ90" s="157"/>
      <c r="AR90" s="157"/>
      <c r="AS90" s="157"/>
      <c r="AT90" s="48"/>
      <c r="AU90" s="48"/>
      <c r="AV90" s="48"/>
      <c r="AW90" s="48"/>
      <c r="AX90" s="48"/>
      <c r="AY90" s="48"/>
      <c r="AZ90" s="48"/>
      <c r="BA90" s="48"/>
      <c r="BB90" s="48"/>
      <c r="BC90" s="48"/>
      <c r="BD90" s="48"/>
      <c r="BE90" s="48"/>
      <c r="BF90" s="49"/>
    </row>
    <row r="91" spans="1:59" ht="20.100000000000001" hidden="1" customHeight="1" x14ac:dyDescent="0.25">
      <c r="A91" s="44"/>
      <c r="B91" s="151"/>
      <c r="C91" s="152"/>
      <c r="D91" s="153"/>
      <c r="E91" s="153"/>
      <c r="F91" s="154"/>
      <c r="G91" s="186"/>
      <c r="H91" s="157"/>
      <c r="I91" s="155"/>
      <c r="J91" s="154"/>
      <c r="K91" s="155"/>
      <c r="L91" s="155"/>
      <c r="M91" s="155"/>
      <c r="N91" s="155"/>
      <c r="O91" s="155"/>
      <c r="P91" s="155"/>
      <c r="Q91" s="646" t="s">
        <v>157</v>
      </c>
      <c r="R91" s="646"/>
      <c r="S91" s="646"/>
      <c r="T91" s="646"/>
      <c r="U91" s="647"/>
      <c r="V91" s="161">
        <f>+V88-V89</f>
        <v>0</v>
      </c>
      <c r="W91" s="161">
        <f>+W88-W89</f>
        <v>0</v>
      </c>
      <c r="X91" s="161">
        <f>+X88-X89</f>
        <v>3</v>
      </c>
      <c r="Y91" s="161">
        <f>+Y88-Y89</f>
        <v>4</v>
      </c>
      <c r="Z91" s="157"/>
      <c r="AA91" s="157"/>
      <c r="AB91" s="157"/>
      <c r="AC91" s="157"/>
      <c r="AD91" s="158"/>
      <c r="AE91" s="157"/>
      <c r="AF91" s="157"/>
      <c r="AG91" s="157"/>
      <c r="AH91" s="157"/>
      <c r="AI91" s="157"/>
      <c r="AJ91" s="157"/>
      <c r="AK91" s="157"/>
      <c r="AL91" s="157"/>
      <c r="AM91" s="157"/>
      <c r="AN91" s="157"/>
      <c r="AO91" s="157"/>
      <c r="AP91" s="157"/>
      <c r="AQ91" s="157"/>
      <c r="AR91" s="157"/>
      <c r="AS91" s="157"/>
      <c r="AT91" s="94"/>
      <c r="AU91" s="48"/>
      <c r="AV91" s="48"/>
      <c r="AW91" s="48"/>
      <c r="AX91" s="48"/>
      <c r="AY91" s="48"/>
      <c r="AZ91" s="48"/>
      <c r="BA91" s="48"/>
      <c r="BB91" s="48"/>
      <c r="BC91" s="48"/>
      <c r="BD91" s="48"/>
      <c r="BE91" s="48"/>
      <c r="BF91" s="49"/>
    </row>
    <row r="92" spans="1:59" ht="20.100000000000001" hidden="1" customHeight="1" x14ac:dyDescent="0.25">
      <c r="A92" s="44"/>
      <c r="B92" s="151"/>
      <c r="C92" s="152"/>
      <c r="D92" s="153"/>
      <c r="E92" s="153"/>
      <c r="F92" s="154"/>
      <c r="G92" s="154"/>
      <c r="H92" s="157"/>
      <c r="I92" s="155"/>
      <c r="J92" s="154"/>
      <c r="K92" s="155"/>
      <c r="L92" s="155"/>
      <c r="M92" s="155"/>
      <c r="N92" s="155"/>
      <c r="O92" s="155"/>
      <c r="P92" s="155"/>
      <c r="Q92" s="646" t="s">
        <v>158</v>
      </c>
      <c r="R92" s="646"/>
      <c r="S92" s="646"/>
      <c r="T92" s="646"/>
      <c r="U92" s="646"/>
      <c r="V92" s="156">
        <f>+V88</f>
        <v>3</v>
      </c>
      <c r="W92" s="156">
        <f>+W88</f>
        <v>3</v>
      </c>
      <c r="X92" s="156">
        <f>+X88</f>
        <v>3</v>
      </c>
      <c r="Y92" s="156">
        <f>+Y88</f>
        <v>4</v>
      </c>
      <c r="Z92" s="157"/>
      <c r="AA92" s="157"/>
      <c r="AB92" s="157"/>
      <c r="AC92" s="157"/>
      <c r="AD92" s="158"/>
      <c r="AE92" s="157"/>
      <c r="AF92" s="157"/>
      <c r="AG92" s="157"/>
      <c r="AH92" s="157"/>
      <c r="AI92" s="157"/>
      <c r="AJ92" s="157"/>
      <c r="AK92" s="157"/>
      <c r="AL92" s="157"/>
      <c r="AM92" s="157"/>
      <c r="AN92" s="157"/>
      <c r="AO92" s="157"/>
      <c r="AP92" s="157"/>
      <c r="AQ92" s="157"/>
      <c r="AR92" s="157"/>
      <c r="AS92" s="157"/>
      <c r="AT92" s="48"/>
      <c r="AU92" s="48"/>
      <c r="AV92" s="48"/>
      <c r="AW92" s="48"/>
      <c r="AX92" s="48"/>
      <c r="AY92" s="48"/>
      <c r="AZ92" s="48"/>
      <c r="BA92" s="48"/>
      <c r="BB92" s="48"/>
      <c r="BC92" s="48"/>
      <c r="BD92" s="48"/>
      <c r="BE92" s="48"/>
      <c r="BF92" s="49"/>
    </row>
    <row r="93" spans="1:59" ht="20.100000000000001" hidden="1" customHeight="1" x14ac:dyDescent="0.25">
      <c r="A93" s="44"/>
      <c r="B93" s="151"/>
      <c r="C93" s="152"/>
      <c r="D93" s="153"/>
      <c r="E93" s="153"/>
      <c r="F93" s="154"/>
      <c r="G93" s="154"/>
      <c r="H93" s="187"/>
      <c r="I93" s="155"/>
      <c r="J93" s="154"/>
      <c r="K93" s="155"/>
      <c r="L93" s="155"/>
      <c r="M93" s="155"/>
      <c r="N93" s="155"/>
      <c r="O93" s="155"/>
      <c r="P93" s="155"/>
      <c r="Q93" s="646" t="s">
        <v>159</v>
      </c>
      <c r="R93" s="646"/>
      <c r="S93" s="646"/>
      <c r="T93" s="646"/>
      <c r="U93" s="646"/>
      <c r="V93" s="161">
        <v>3</v>
      </c>
      <c r="W93" s="161">
        <v>3</v>
      </c>
      <c r="X93" s="161"/>
      <c r="Y93" s="161"/>
      <c r="Z93" s="157"/>
      <c r="AA93" s="157"/>
      <c r="AB93" s="157"/>
      <c r="AC93" s="157"/>
      <c r="AD93" s="158"/>
      <c r="AE93" s="157"/>
      <c r="AF93" s="157"/>
      <c r="AG93" s="157"/>
      <c r="AH93" s="157"/>
      <c r="AI93" s="157"/>
      <c r="AJ93" s="157"/>
      <c r="AK93" s="157"/>
      <c r="AL93" s="157"/>
      <c r="AM93" s="157"/>
      <c r="AN93" s="157"/>
      <c r="AO93" s="157"/>
      <c r="AP93" s="157"/>
      <c r="AQ93" s="157"/>
      <c r="AR93" s="157"/>
      <c r="AS93" s="157"/>
      <c r="AT93" s="94"/>
      <c r="AU93" s="48"/>
      <c r="AV93" s="48"/>
      <c r="AW93" s="48"/>
      <c r="AX93" s="48"/>
      <c r="AY93" s="48"/>
      <c r="AZ93" s="48"/>
      <c r="BA93" s="48"/>
      <c r="BB93" s="48"/>
      <c r="BC93" s="48"/>
      <c r="BD93" s="48"/>
      <c r="BE93" s="48"/>
      <c r="BF93" s="49"/>
    </row>
    <row r="94" spans="1:59" ht="15" hidden="1" customHeight="1" x14ac:dyDescent="0.25">
      <c r="A94" s="79"/>
      <c r="B94" s="80"/>
      <c r="C94" s="88"/>
      <c r="D94" s="82"/>
      <c r="E94" s="82"/>
      <c r="F94" s="46"/>
      <c r="G94" s="46"/>
      <c r="H94" s="46"/>
      <c r="I94" s="46"/>
      <c r="J94" s="83"/>
      <c r="K94" s="46"/>
      <c r="L94" s="46"/>
      <c r="M94" s="46"/>
      <c r="N94" s="46"/>
      <c r="O94" s="46"/>
      <c r="P94" s="46"/>
      <c r="Q94" s="46"/>
      <c r="R94" s="46"/>
      <c r="S94" s="46"/>
      <c r="T94" s="46"/>
      <c r="U94" s="46"/>
      <c r="V94" s="73"/>
      <c r="W94" s="73"/>
      <c r="X94" s="73"/>
      <c r="Y94" s="73"/>
      <c r="Z94" s="46"/>
      <c r="AA94" s="46"/>
      <c r="AB94" s="46"/>
      <c r="AC94" s="46"/>
      <c r="AD94" s="47"/>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9"/>
    </row>
    <row r="95" spans="1:59" ht="24.95" customHeight="1" x14ac:dyDescent="0.25">
      <c r="A95" s="79"/>
      <c r="B95" s="80"/>
      <c r="C95" s="85"/>
      <c r="D95" s="565" t="s">
        <v>17</v>
      </c>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565"/>
      <c r="AK95" s="565"/>
      <c r="AL95" s="565"/>
      <c r="AM95" s="565"/>
      <c r="AN95" s="565"/>
      <c r="AO95" s="565"/>
      <c r="AP95" s="565"/>
      <c r="AQ95" s="565"/>
      <c r="AR95" s="565"/>
      <c r="AS95" s="565"/>
      <c r="AT95" s="565" t="s">
        <v>102</v>
      </c>
      <c r="AU95" s="565"/>
      <c r="AV95" s="565"/>
      <c r="AW95" s="565"/>
      <c r="AX95" s="565"/>
      <c r="AY95" s="565"/>
      <c r="AZ95" s="565"/>
      <c r="BA95" s="565"/>
      <c r="BB95" s="565"/>
      <c r="BC95" s="565"/>
      <c r="BD95" s="565"/>
      <c r="BE95" s="48"/>
      <c r="BF95" s="49"/>
    </row>
    <row r="96" spans="1:59" ht="15" hidden="1" customHeight="1" x14ac:dyDescent="0.25">
      <c r="A96" s="79"/>
      <c r="B96" s="80"/>
      <c r="C96" s="85"/>
      <c r="D96" s="108"/>
      <c r="E96" s="108"/>
      <c r="F96" s="31"/>
      <c r="G96" s="31"/>
      <c r="H96" s="31"/>
      <c r="I96" s="31"/>
      <c r="J96" s="31"/>
      <c r="K96" s="31"/>
      <c r="L96" s="31"/>
      <c r="M96" s="31"/>
      <c r="N96" s="31"/>
      <c r="O96" s="31"/>
      <c r="P96" s="31"/>
      <c r="Q96" s="31"/>
      <c r="R96" s="31"/>
      <c r="S96" s="31"/>
      <c r="T96" s="31"/>
      <c r="U96" s="31"/>
      <c r="V96" s="31"/>
      <c r="W96" s="31"/>
      <c r="X96" s="31"/>
      <c r="Y96" s="31"/>
      <c r="Z96" s="31"/>
      <c r="AA96" s="31"/>
      <c r="AB96" s="31"/>
      <c r="AC96" s="31"/>
      <c r="AD96" s="94"/>
      <c r="AE96" s="94"/>
      <c r="AF96" s="94"/>
      <c r="AG96" s="94"/>
      <c r="AH96" s="94"/>
      <c r="AI96" s="94"/>
      <c r="AJ96" s="94"/>
      <c r="AK96" s="94"/>
      <c r="AL96" s="94"/>
      <c r="AM96" s="94"/>
      <c r="AN96" s="94"/>
      <c r="AO96" s="94"/>
      <c r="AP96" s="94"/>
      <c r="AQ96" s="94"/>
      <c r="AR96" s="94"/>
      <c r="AS96" s="94"/>
      <c r="AT96" s="32"/>
      <c r="AU96" s="48"/>
      <c r="AV96" s="48"/>
      <c r="AW96" s="48"/>
      <c r="AX96" s="48"/>
      <c r="AY96" s="48"/>
      <c r="AZ96" s="48"/>
      <c r="BA96" s="48"/>
      <c r="BB96" s="48"/>
      <c r="BC96" s="48"/>
      <c r="BD96" s="48"/>
      <c r="BE96" s="48"/>
      <c r="BF96" s="49"/>
    </row>
    <row r="97" spans="1:58" ht="20.100000000000001" hidden="1" customHeight="1" x14ac:dyDescent="0.25">
      <c r="A97" s="79"/>
      <c r="B97" s="80"/>
      <c r="C97" s="85"/>
      <c r="D97" s="109" t="s">
        <v>103</v>
      </c>
      <c r="E97" s="82"/>
      <c r="F97" s="46"/>
      <c r="G97" s="46"/>
      <c r="H97" s="46"/>
      <c r="I97" s="46"/>
      <c r="J97" s="83"/>
      <c r="K97" s="46"/>
      <c r="L97" s="46"/>
      <c r="M97" s="46"/>
      <c r="N97" s="46"/>
      <c r="O97" s="46"/>
      <c r="P97" s="46"/>
      <c r="Q97" s="46"/>
      <c r="R97" s="46"/>
      <c r="S97" s="46"/>
      <c r="T97" s="46"/>
      <c r="U97" s="46"/>
      <c r="V97" s="42"/>
      <c r="W97" s="46"/>
      <c r="X97" s="46"/>
      <c r="Y97" s="46"/>
      <c r="Z97" s="46"/>
      <c r="AA97" s="46"/>
      <c r="AB97" s="46"/>
      <c r="AC97" s="46"/>
      <c r="AD97" s="47"/>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9"/>
    </row>
    <row r="98" spans="1:58" ht="20.100000000000001" customHeight="1" x14ac:dyDescent="0.25">
      <c r="A98" s="79"/>
      <c r="B98" s="80"/>
      <c r="C98" s="85"/>
      <c r="D98" s="1000" t="s">
        <v>19</v>
      </c>
      <c r="E98" s="1000"/>
      <c r="F98" s="1000"/>
      <c r="G98" s="1000"/>
      <c r="H98" s="1000"/>
      <c r="I98" s="1000"/>
      <c r="J98" s="1000"/>
      <c r="K98" s="1000"/>
      <c r="L98" s="1000"/>
      <c r="M98" s="1000"/>
      <c r="N98" s="1000"/>
      <c r="O98" s="1000"/>
      <c r="P98" s="1000"/>
      <c r="Q98" s="1000"/>
      <c r="R98" s="1000"/>
      <c r="S98" s="1000"/>
      <c r="T98" s="1000"/>
      <c r="U98" s="1000"/>
      <c r="V98" s="1000"/>
      <c r="W98" s="1000"/>
      <c r="X98" s="1000"/>
      <c r="Y98" s="1000"/>
      <c r="Z98" s="1000"/>
      <c r="AA98" s="1000"/>
      <c r="AB98" s="1000"/>
      <c r="AC98" s="1000"/>
      <c r="AD98" s="1000"/>
      <c r="AE98" s="1000"/>
      <c r="AF98" s="1000"/>
      <c r="AG98" s="1000"/>
      <c r="AH98" s="1000"/>
      <c r="AI98" s="1000"/>
      <c r="AJ98" s="1000"/>
      <c r="AK98" s="1000"/>
      <c r="AL98" s="1000"/>
      <c r="AM98" s="1000"/>
      <c r="AN98" s="1000"/>
      <c r="AO98" s="1000"/>
      <c r="AP98" s="1000"/>
      <c r="AQ98" s="1000"/>
      <c r="AR98" s="1000"/>
      <c r="AS98" s="1000"/>
      <c r="AT98" s="561" t="s">
        <v>104</v>
      </c>
      <c r="AU98" s="563"/>
      <c r="AV98" s="563"/>
      <c r="AW98" s="563"/>
      <c r="AX98" s="563"/>
      <c r="AY98" s="563"/>
      <c r="AZ98" s="563"/>
      <c r="BA98" s="563"/>
      <c r="BB98" s="562"/>
      <c r="BC98" s="561" t="s">
        <v>105</v>
      </c>
      <c r="BD98" s="562"/>
      <c r="BE98" s="48"/>
      <c r="BF98" s="49"/>
    </row>
    <row r="99" spans="1:58" ht="15" customHeight="1" x14ac:dyDescent="0.25">
      <c r="A99" s="79"/>
      <c r="B99" s="80"/>
      <c r="C99" s="85"/>
      <c r="D99" s="691" t="s">
        <v>106</v>
      </c>
      <c r="E99" s="691" t="s">
        <v>107</v>
      </c>
      <c r="F99" s="711" t="s">
        <v>108</v>
      </c>
      <c r="G99" s="691" t="s">
        <v>109</v>
      </c>
      <c r="H99" s="711" t="s">
        <v>110</v>
      </c>
      <c r="I99" s="691" t="s">
        <v>51</v>
      </c>
      <c r="J99" s="712" t="s">
        <v>111</v>
      </c>
      <c r="K99" s="691" t="s">
        <v>52</v>
      </c>
      <c r="L99" s="691"/>
      <c r="M99" s="691"/>
      <c r="N99" s="691" t="s">
        <v>53</v>
      </c>
      <c r="O99" s="691" t="s">
        <v>54</v>
      </c>
      <c r="P99" s="703" t="s">
        <v>55</v>
      </c>
      <c r="Q99" s="703" t="s">
        <v>56</v>
      </c>
      <c r="R99" s="703" t="s">
        <v>57</v>
      </c>
      <c r="S99" s="703" t="s">
        <v>58</v>
      </c>
      <c r="T99" s="703" t="s">
        <v>59</v>
      </c>
      <c r="U99" s="691" t="s">
        <v>60</v>
      </c>
      <c r="V99" s="691"/>
      <c r="W99" s="691"/>
      <c r="X99" s="691"/>
      <c r="Y99" s="691"/>
      <c r="Z99" s="691" t="s">
        <v>61</v>
      </c>
      <c r="AA99" s="691"/>
      <c r="AB99" s="691"/>
      <c r="AC99" s="691"/>
      <c r="AD99" s="707" t="s">
        <v>62</v>
      </c>
      <c r="AE99" s="708"/>
      <c r="AF99" s="709"/>
      <c r="AG99" s="695" t="s">
        <v>63</v>
      </c>
      <c r="AH99" s="695" t="s">
        <v>64</v>
      </c>
      <c r="AI99" s="695" t="s">
        <v>65</v>
      </c>
      <c r="AJ99" s="691" t="s">
        <v>66</v>
      </c>
      <c r="AK99" s="691"/>
      <c r="AL99" s="691"/>
      <c r="AM99" s="691"/>
      <c r="AN99" s="691"/>
      <c r="AO99" s="691"/>
      <c r="AP99" s="691"/>
      <c r="AQ99" s="691"/>
      <c r="AR99" s="691"/>
      <c r="AS99" s="691"/>
      <c r="AT99" s="558" t="s">
        <v>60</v>
      </c>
      <c r="AU99" s="569" t="s">
        <v>112</v>
      </c>
      <c r="AV99" s="570"/>
      <c r="AW99" s="570"/>
      <c r="AX99" s="571"/>
      <c r="AY99" s="569" t="s">
        <v>113</v>
      </c>
      <c r="AZ99" s="570"/>
      <c r="BA99" s="570"/>
      <c r="BB99" s="571"/>
      <c r="BC99" s="584" t="s">
        <v>114</v>
      </c>
      <c r="BD99" s="587" t="s">
        <v>102</v>
      </c>
      <c r="BE99" s="48"/>
      <c r="BF99" s="49"/>
    </row>
    <row r="100" spans="1:58" ht="15" customHeight="1" x14ac:dyDescent="0.25">
      <c r="A100" s="79"/>
      <c r="B100" s="80"/>
      <c r="C100" s="85"/>
      <c r="D100" s="691"/>
      <c r="E100" s="691"/>
      <c r="F100" s="711"/>
      <c r="G100" s="691"/>
      <c r="H100" s="711"/>
      <c r="I100" s="691"/>
      <c r="J100" s="712"/>
      <c r="K100" s="691"/>
      <c r="L100" s="691"/>
      <c r="M100" s="691"/>
      <c r="N100" s="691"/>
      <c r="O100" s="691"/>
      <c r="P100" s="703"/>
      <c r="Q100" s="703"/>
      <c r="R100" s="703"/>
      <c r="S100" s="703"/>
      <c r="T100" s="703"/>
      <c r="U100" s="691" t="s">
        <v>67</v>
      </c>
      <c r="V100" s="691"/>
      <c r="W100" s="691"/>
      <c r="X100" s="691"/>
      <c r="Y100" s="691"/>
      <c r="Z100" s="691" t="s">
        <v>67</v>
      </c>
      <c r="AA100" s="691"/>
      <c r="AB100" s="691"/>
      <c r="AC100" s="691"/>
      <c r="AD100" s="695" t="s">
        <v>68</v>
      </c>
      <c r="AE100" s="695" t="s">
        <v>69</v>
      </c>
      <c r="AF100" s="695" t="s">
        <v>70</v>
      </c>
      <c r="AG100" s="696"/>
      <c r="AH100" s="696"/>
      <c r="AI100" s="696"/>
      <c r="AJ100" s="691"/>
      <c r="AK100" s="691"/>
      <c r="AL100" s="691"/>
      <c r="AM100" s="691"/>
      <c r="AN100" s="691"/>
      <c r="AO100" s="691"/>
      <c r="AP100" s="691"/>
      <c r="AQ100" s="691"/>
      <c r="AR100" s="691"/>
      <c r="AS100" s="691"/>
      <c r="AT100" s="559"/>
      <c r="AU100" s="572"/>
      <c r="AV100" s="573"/>
      <c r="AW100" s="573"/>
      <c r="AX100" s="574"/>
      <c r="AY100" s="572"/>
      <c r="AZ100" s="573"/>
      <c r="BA100" s="573"/>
      <c r="BB100" s="574"/>
      <c r="BC100" s="585"/>
      <c r="BD100" s="588"/>
      <c r="BE100" s="48"/>
      <c r="BF100" s="49"/>
    </row>
    <row r="101" spans="1:58" s="95" customFormat="1" ht="24" customHeight="1" thickBot="1" x14ac:dyDescent="0.3">
      <c r="A101" s="86"/>
      <c r="B101" s="87"/>
      <c r="C101" s="88"/>
      <c r="D101" s="691"/>
      <c r="E101" s="691"/>
      <c r="F101" s="711"/>
      <c r="G101" s="691"/>
      <c r="H101" s="711"/>
      <c r="I101" s="691"/>
      <c r="J101" s="712"/>
      <c r="K101" s="89" t="s">
        <v>71</v>
      </c>
      <c r="L101" s="89" t="s">
        <v>115</v>
      </c>
      <c r="M101" s="89" t="s">
        <v>72</v>
      </c>
      <c r="N101" s="691"/>
      <c r="O101" s="691"/>
      <c r="P101" s="703"/>
      <c r="Q101" s="703"/>
      <c r="R101" s="703"/>
      <c r="S101" s="703"/>
      <c r="T101" s="703"/>
      <c r="U101" s="90" t="s">
        <v>73</v>
      </c>
      <c r="V101" s="89">
        <v>1</v>
      </c>
      <c r="W101" s="91">
        <v>2</v>
      </c>
      <c r="X101" s="91">
        <v>3</v>
      </c>
      <c r="Y101" s="110">
        <v>4</v>
      </c>
      <c r="Z101" s="89">
        <v>1</v>
      </c>
      <c r="AA101" s="91">
        <v>2</v>
      </c>
      <c r="AB101" s="91">
        <v>3</v>
      </c>
      <c r="AC101" s="91">
        <v>4</v>
      </c>
      <c r="AD101" s="696"/>
      <c r="AE101" s="696"/>
      <c r="AF101" s="696"/>
      <c r="AG101" s="696"/>
      <c r="AH101" s="696"/>
      <c r="AI101" s="697"/>
      <c r="AJ101" s="89" t="s">
        <v>74</v>
      </c>
      <c r="AK101" s="91" t="s">
        <v>75</v>
      </c>
      <c r="AL101" s="91" t="s">
        <v>76</v>
      </c>
      <c r="AM101" s="91" t="s">
        <v>77</v>
      </c>
      <c r="AN101" s="92" t="s">
        <v>78</v>
      </c>
      <c r="AO101" s="92" t="s">
        <v>79</v>
      </c>
      <c r="AP101" s="92" t="s">
        <v>80</v>
      </c>
      <c r="AQ101" s="92" t="s">
        <v>81</v>
      </c>
      <c r="AR101" s="93" t="s">
        <v>82</v>
      </c>
      <c r="AS101" s="93" t="s">
        <v>83</v>
      </c>
      <c r="AT101" s="560"/>
      <c r="AU101" s="111" t="s">
        <v>116</v>
      </c>
      <c r="AV101" s="111" t="s">
        <v>117</v>
      </c>
      <c r="AW101" s="111" t="s">
        <v>118</v>
      </c>
      <c r="AX101" s="111" t="s">
        <v>119</v>
      </c>
      <c r="AY101" s="111" t="s">
        <v>116</v>
      </c>
      <c r="AZ101" s="111" t="s">
        <v>117</v>
      </c>
      <c r="BA101" s="111" t="s">
        <v>118</v>
      </c>
      <c r="BB101" s="111" t="s">
        <v>119</v>
      </c>
      <c r="BC101" s="586"/>
      <c r="BD101" s="589"/>
      <c r="BE101" s="48"/>
      <c r="BF101" s="49"/>
    </row>
    <row r="102" spans="1:58" s="193" customFormat="1" ht="35.1" customHeight="1" x14ac:dyDescent="0.25">
      <c r="A102" s="675"/>
      <c r="B102" s="664"/>
      <c r="C102" s="665">
        <v>1</v>
      </c>
      <c r="D102" s="1116" t="s">
        <v>19</v>
      </c>
      <c r="E102" s="970" t="s">
        <v>192</v>
      </c>
      <c r="F102" s="534">
        <v>0.8</v>
      </c>
      <c r="G102" s="881" t="s">
        <v>193</v>
      </c>
      <c r="H102" s="534">
        <v>0.1</v>
      </c>
      <c r="I102" s="770" t="s">
        <v>194</v>
      </c>
      <c r="J102" s="915">
        <v>0.55022081727062455</v>
      </c>
      <c r="K102" s="770" t="s">
        <v>195</v>
      </c>
      <c r="L102" s="770" t="s">
        <v>196</v>
      </c>
      <c r="M102" s="722" t="s">
        <v>197</v>
      </c>
      <c r="N102" s="770" t="s">
        <v>198</v>
      </c>
      <c r="O102" s="722" t="s">
        <v>199</v>
      </c>
      <c r="P102" s="990">
        <v>0.33</v>
      </c>
      <c r="Q102" s="1112">
        <f>116/188</f>
        <v>0.61702127659574468</v>
      </c>
      <c r="R102" s="1115" t="s">
        <v>200</v>
      </c>
      <c r="S102" s="1106">
        <f>230/262</f>
        <v>0.87786259541984735</v>
      </c>
      <c r="T102" s="1109" t="s">
        <v>201</v>
      </c>
      <c r="U102" s="188" t="s">
        <v>202</v>
      </c>
      <c r="V102" s="188"/>
      <c r="W102" s="188"/>
      <c r="X102" s="189"/>
      <c r="Y102" s="188"/>
      <c r="Z102" s="130"/>
      <c r="AA102" s="130"/>
      <c r="AB102" s="114"/>
      <c r="AC102" s="114"/>
      <c r="AD102" s="1004">
        <f>+AE102+AF102+AG102</f>
        <v>713636400</v>
      </c>
      <c r="AE102" s="1007">
        <v>0</v>
      </c>
      <c r="AF102" s="1007">
        <f>698794000+(37106000*0.4)</f>
        <v>713636400</v>
      </c>
      <c r="AG102" s="1007">
        <v>0</v>
      </c>
      <c r="AH102" s="785" t="s">
        <v>203</v>
      </c>
      <c r="AI102" s="785" t="s">
        <v>204</v>
      </c>
      <c r="AJ102" s="1103" t="s">
        <v>94</v>
      </c>
      <c r="AK102" s="1103"/>
      <c r="AL102" s="1103"/>
      <c r="AM102" s="1103"/>
      <c r="AN102" s="1103"/>
      <c r="AO102" s="785" t="s">
        <v>94</v>
      </c>
      <c r="AP102" s="1103"/>
      <c r="AQ102" s="785" t="s">
        <v>94</v>
      </c>
      <c r="AR102" s="785"/>
      <c r="AS102" s="1103"/>
      <c r="AT102" s="190" t="s">
        <v>129</v>
      </c>
      <c r="AU102" s="116">
        <f t="shared" ref="AU102:BB102" si="44">+V104*$J$102</f>
        <v>0</v>
      </c>
      <c r="AV102" s="116">
        <f t="shared" si="44"/>
        <v>0</v>
      </c>
      <c r="AW102" s="116">
        <f t="shared" si="44"/>
        <v>0</v>
      </c>
      <c r="AX102" s="116">
        <f t="shared" si="44"/>
        <v>0</v>
      </c>
      <c r="AY102" s="116">
        <f t="shared" si="44"/>
        <v>0</v>
      </c>
      <c r="AZ102" s="116">
        <f t="shared" si="44"/>
        <v>0</v>
      </c>
      <c r="BA102" s="116">
        <f t="shared" si="44"/>
        <v>0</v>
      </c>
      <c r="BB102" s="167">
        <f t="shared" si="44"/>
        <v>0</v>
      </c>
      <c r="BC102" s="566">
        <f>+BB104</f>
        <v>0</v>
      </c>
      <c r="BD102" s="581">
        <f>+BC102+BC120+BC123</f>
        <v>0</v>
      </c>
      <c r="BE102" s="191"/>
      <c r="BF102" s="192"/>
    </row>
    <row r="103" spans="1:58" s="193" customFormat="1" ht="35.1" customHeight="1" thickBot="1" x14ac:dyDescent="0.3">
      <c r="A103" s="675"/>
      <c r="B103" s="664"/>
      <c r="C103" s="665"/>
      <c r="D103" s="1116"/>
      <c r="E103" s="971"/>
      <c r="F103" s="535"/>
      <c r="G103" s="882"/>
      <c r="H103" s="535"/>
      <c r="I103" s="771"/>
      <c r="J103" s="916"/>
      <c r="K103" s="771"/>
      <c r="L103" s="771"/>
      <c r="M103" s="723"/>
      <c r="N103" s="771"/>
      <c r="O103" s="723"/>
      <c r="P103" s="991"/>
      <c r="Q103" s="1113"/>
      <c r="R103" s="1115"/>
      <c r="S103" s="1107"/>
      <c r="T103" s="1110"/>
      <c r="U103" s="194" t="s">
        <v>205</v>
      </c>
      <c r="V103" s="170">
        <v>55</v>
      </c>
      <c r="W103" s="170">
        <v>65</v>
      </c>
      <c r="X103" s="170">
        <v>60</v>
      </c>
      <c r="Y103" s="170">
        <v>50</v>
      </c>
      <c r="Z103" s="172">
        <f>SUM(V103)</f>
        <v>55</v>
      </c>
      <c r="AA103" s="172">
        <f>SUM(V103:W103)</f>
        <v>120</v>
      </c>
      <c r="AB103" s="172">
        <f>SUM(V103:X103)</f>
        <v>180</v>
      </c>
      <c r="AC103" s="172">
        <f>SUM(V103:Y103)</f>
        <v>230</v>
      </c>
      <c r="AD103" s="1005"/>
      <c r="AE103" s="1008"/>
      <c r="AF103" s="1008"/>
      <c r="AG103" s="1008"/>
      <c r="AH103" s="786"/>
      <c r="AI103" s="786"/>
      <c r="AJ103" s="1104"/>
      <c r="AK103" s="1104"/>
      <c r="AL103" s="1104"/>
      <c r="AM103" s="1104"/>
      <c r="AN103" s="1104"/>
      <c r="AO103" s="786"/>
      <c r="AP103" s="1104"/>
      <c r="AQ103" s="786"/>
      <c r="AR103" s="786"/>
      <c r="AS103" s="1104"/>
      <c r="AT103" s="190" t="s">
        <v>131</v>
      </c>
      <c r="AU103" s="123">
        <f>+(AU102+AU105+AU108+AU111+AU114)*$H$102</f>
        <v>0</v>
      </c>
      <c r="AV103" s="123">
        <f t="shared" ref="AV103:BB103" si="45">+(AV102+AV105+AV108+AV111+AV114)*$H$102</f>
        <v>0</v>
      </c>
      <c r="AW103" s="123">
        <f t="shared" si="45"/>
        <v>0</v>
      </c>
      <c r="AX103" s="123">
        <f t="shared" si="45"/>
        <v>0</v>
      </c>
      <c r="AY103" s="123">
        <f t="shared" si="45"/>
        <v>0</v>
      </c>
      <c r="AZ103" s="123">
        <f t="shared" si="45"/>
        <v>0</v>
      </c>
      <c r="BA103" s="123">
        <f t="shared" si="45"/>
        <v>0</v>
      </c>
      <c r="BB103" s="123">
        <f t="shared" si="45"/>
        <v>0</v>
      </c>
      <c r="BC103" s="567"/>
      <c r="BD103" s="582"/>
      <c r="BE103" s="191"/>
      <c r="BF103" s="192"/>
    </row>
    <row r="104" spans="1:58" s="193" customFormat="1" ht="24.95" customHeight="1" thickBot="1" x14ac:dyDescent="0.3">
      <c r="A104" s="675"/>
      <c r="B104" s="664"/>
      <c r="C104" s="665"/>
      <c r="D104" s="1116"/>
      <c r="E104" s="971"/>
      <c r="F104" s="535"/>
      <c r="G104" s="882"/>
      <c r="H104" s="535"/>
      <c r="I104" s="772"/>
      <c r="J104" s="917"/>
      <c r="K104" s="772"/>
      <c r="L104" s="772"/>
      <c r="M104" s="724"/>
      <c r="N104" s="772"/>
      <c r="O104" s="724"/>
      <c r="P104" s="992"/>
      <c r="Q104" s="1114"/>
      <c r="R104" s="1115"/>
      <c r="S104" s="1108"/>
      <c r="T104" s="1111"/>
      <c r="U104" s="122" t="s">
        <v>96</v>
      </c>
      <c r="V104" s="195">
        <f>IF((V102/V103)&lt;$I$8,(V102/V103),IF((V102/V103)&lt;$J$8,(V102/V103),IF((V102/V103)&lt;$J$9,(V102/V103),IF((V102/V103)&gt;=$J$9,$J$9))))</f>
        <v>0</v>
      </c>
      <c r="W104" s="195">
        <f t="shared" ref="W104:AC104" si="46">IF((W102/W103)&lt;$I$8,(W102/W103),IF((W102/W103)&lt;$J$8,(W102/W103),IF((W102/W103)&lt;$J$9,(W102/W103),IF((W102/W103)&gt;=$J$9,$J$9))))</f>
        <v>0</v>
      </c>
      <c r="X104" s="195">
        <f t="shared" si="46"/>
        <v>0</v>
      </c>
      <c r="Y104" s="195">
        <f t="shared" si="46"/>
        <v>0</v>
      </c>
      <c r="Z104" s="195">
        <f t="shared" si="46"/>
        <v>0</v>
      </c>
      <c r="AA104" s="195">
        <f t="shared" si="46"/>
        <v>0</v>
      </c>
      <c r="AB104" s="195">
        <f t="shared" si="46"/>
        <v>0</v>
      </c>
      <c r="AC104" s="195">
        <f t="shared" si="46"/>
        <v>0</v>
      </c>
      <c r="AD104" s="1006"/>
      <c r="AE104" s="1009"/>
      <c r="AF104" s="1009"/>
      <c r="AG104" s="1009"/>
      <c r="AH104" s="787"/>
      <c r="AI104" s="787"/>
      <c r="AJ104" s="1105"/>
      <c r="AK104" s="1105"/>
      <c r="AL104" s="1105"/>
      <c r="AM104" s="1105"/>
      <c r="AN104" s="1105"/>
      <c r="AO104" s="787"/>
      <c r="AP104" s="1105"/>
      <c r="AQ104" s="787"/>
      <c r="AR104" s="787"/>
      <c r="AS104" s="1105"/>
      <c r="AT104" s="190" t="s">
        <v>132</v>
      </c>
      <c r="AU104" s="123">
        <f>+(AU103+AU118)*$F$102</f>
        <v>0</v>
      </c>
      <c r="AV104" s="123">
        <f t="shared" ref="AV104:BB104" si="47">+(AV103+AV118)*$F$102</f>
        <v>0</v>
      </c>
      <c r="AW104" s="123">
        <f t="shared" si="47"/>
        <v>0</v>
      </c>
      <c r="AX104" s="123">
        <f t="shared" si="47"/>
        <v>0</v>
      </c>
      <c r="AY104" s="123">
        <f t="shared" si="47"/>
        <v>0</v>
      </c>
      <c r="AZ104" s="123">
        <f t="shared" si="47"/>
        <v>0</v>
      </c>
      <c r="BA104" s="123">
        <f t="shared" si="47"/>
        <v>0</v>
      </c>
      <c r="BB104" s="127">
        <f t="shared" si="47"/>
        <v>0</v>
      </c>
      <c r="BC104" s="567"/>
      <c r="BD104" s="582"/>
      <c r="BE104" s="191"/>
      <c r="BF104" s="192"/>
    </row>
    <row r="105" spans="1:58" s="193" customFormat="1" ht="35.1" customHeight="1" x14ac:dyDescent="0.25">
      <c r="A105" s="675"/>
      <c r="B105" s="664"/>
      <c r="C105" s="673">
        <v>2</v>
      </c>
      <c r="D105" s="1116"/>
      <c r="E105" s="971"/>
      <c r="F105" s="535"/>
      <c r="G105" s="882"/>
      <c r="H105" s="535"/>
      <c r="I105" s="552" t="s">
        <v>206</v>
      </c>
      <c r="J105" s="534">
        <v>0.13286908249807247</v>
      </c>
      <c r="K105" s="552" t="s">
        <v>207</v>
      </c>
      <c r="L105" s="531" t="s">
        <v>208</v>
      </c>
      <c r="M105" s="678" t="str">
        <f t="shared" ref="M105:M120" si="48">CONCATENATE(U105,$U$32,U106)</f>
        <v># de EGM de AREs declaradas elaborados / # de EGM de AREs declaradas programados</v>
      </c>
      <c r="N105" s="531" t="s">
        <v>209</v>
      </c>
      <c r="O105" s="552" t="s">
        <v>210</v>
      </c>
      <c r="P105" s="1095">
        <v>8.3212052076784518E-2</v>
      </c>
      <c r="Q105" s="977">
        <v>13</v>
      </c>
      <c r="R105" s="980" t="s">
        <v>200</v>
      </c>
      <c r="S105" s="980" t="s">
        <v>200</v>
      </c>
      <c r="T105" s="1086" t="s">
        <v>201</v>
      </c>
      <c r="U105" s="188" t="s">
        <v>211</v>
      </c>
      <c r="V105" s="188"/>
      <c r="W105" s="188"/>
      <c r="X105" s="189"/>
      <c r="Y105" s="188"/>
      <c r="Z105" s="130"/>
      <c r="AA105" s="130"/>
      <c r="AB105" s="114"/>
      <c r="AC105" s="114"/>
      <c r="AD105" s="648">
        <f>+AE105+AF105+AG105</f>
        <v>172331200</v>
      </c>
      <c r="AE105" s="651">
        <v>0</v>
      </c>
      <c r="AF105" s="651">
        <f>123750000+41160000+(37106000*0.2)</f>
        <v>172331200</v>
      </c>
      <c r="AG105" s="651">
        <v>0</v>
      </c>
      <c r="AH105" s="552" t="s">
        <v>203</v>
      </c>
      <c r="AI105" s="552" t="s">
        <v>204</v>
      </c>
      <c r="AJ105" s="967" t="s">
        <v>94</v>
      </c>
      <c r="AK105" s="967"/>
      <c r="AL105" s="967"/>
      <c r="AM105" s="967" t="s">
        <v>94</v>
      </c>
      <c r="AN105" s="967"/>
      <c r="AO105" s="552" t="s">
        <v>94</v>
      </c>
      <c r="AP105" s="967"/>
      <c r="AQ105" s="552" t="s">
        <v>94</v>
      </c>
      <c r="AR105" s="552"/>
      <c r="AS105" s="967"/>
      <c r="AT105" s="190" t="s">
        <v>129</v>
      </c>
      <c r="AU105" s="131">
        <f t="shared" ref="AU105:BB105" si="49">+V107*$J$105</f>
        <v>0</v>
      </c>
      <c r="AV105" s="116">
        <f t="shared" si="49"/>
        <v>0</v>
      </c>
      <c r="AW105" s="131">
        <f t="shared" si="49"/>
        <v>0</v>
      </c>
      <c r="AX105" s="116">
        <f t="shared" si="49"/>
        <v>0</v>
      </c>
      <c r="AY105" s="131">
        <f t="shared" si="49"/>
        <v>0</v>
      </c>
      <c r="AZ105" s="116">
        <f t="shared" si="49"/>
        <v>0</v>
      </c>
      <c r="BA105" s="131">
        <f t="shared" si="49"/>
        <v>0</v>
      </c>
      <c r="BB105" s="167">
        <f t="shared" si="49"/>
        <v>0</v>
      </c>
      <c r="BC105" s="567"/>
      <c r="BD105" s="582"/>
      <c r="BE105" s="191"/>
      <c r="BF105" s="192"/>
    </row>
    <row r="106" spans="1:58" s="193" customFormat="1" ht="35.1" customHeight="1" x14ac:dyDescent="0.25">
      <c r="A106" s="675"/>
      <c r="B106" s="664"/>
      <c r="C106" s="673"/>
      <c r="D106" s="1116"/>
      <c r="E106" s="971"/>
      <c r="F106" s="535"/>
      <c r="G106" s="882"/>
      <c r="H106" s="535"/>
      <c r="I106" s="553"/>
      <c r="J106" s="535"/>
      <c r="K106" s="553"/>
      <c r="L106" s="532"/>
      <c r="M106" s="678"/>
      <c r="N106" s="532"/>
      <c r="O106" s="553"/>
      <c r="P106" s="1096"/>
      <c r="Q106" s="978"/>
      <c r="R106" s="980"/>
      <c r="S106" s="980"/>
      <c r="T106" s="1087"/>
      <c r="U106" s="121" t="s">
        <v>212</v>
      </c>
      <c r="V106" s="133">
        <v>0.01</v>
      </c>
      <c r="W106" s="133">
        <v>8</v>
      </c>
      <c r="X106" s="133">
        <v>0.01</v>
      </c>
      <c r="Y106" s="133">
        <v>10</v>
      </c>
      <c r="Z106" s="133">
        <f>SUM(V106)</f>
        <v>0.01</v>
      </c>
      <c r="AA106" s="133">
        <f>SUM(V106:W106)</f>
        <v>8.01</v>
      </c>
      <c r="AB106" s="133">
        <f>SUM(V106:X106)</f>
        <v>8.02</v>
      </c>
      <c r="AC106" s="133">
        <f>SUM(V106:Y106)</f>
        <v>18.02</v>
      </c>
      <c r="AD106" s="649"/>
      <c r="AE106" s="652"/>
      <c r="AF106" s="652"/>
      <c r="AG106" s="652"/>
      <c r="AH106" s="553"/>
      <c r="AI106" s="553"/>
      <c r="AJ106" s="968"/>
      <c r="AK106" s="968"/>
      <c r="AL106" s="968"/>
      <c r="AM106" s="968"/>
      <c r="AN106" s="968"/>
      <c r="AO106" s="553"/>
      <c r="AP106" s="968"/>
      <c r="AQ106" s="553"/>
      <c r="AR106" s="553"/>
      <c r="AS106" s="968"/>
      <c r="AT106" s="190" t="s">
        <v>131</v>
      </c>
      <c r="AU106" s="555"/>
      <c r="AV106" s="556"/>
      <c r="AW106" s="556"/>
      <c r="AX106" s="556"/>
      <c r="AY106" s="556"/>
      <c r="AZ106" s="556"/>
      <c r="BA106" s="556"/>
      <c r="BB106" s="557"/>
      <c r="BC106" s="567"/>
      <c r="BD106" s="582"/>
      <c r="BE106" s="191"/>
      <c r="BF106" s="192"/>
    </row>
    <row r="107" spans="1:58" s="193" customFormat="1" ht="24.95" customHeight="1" x14ac:dyDescent="0.25">
      <c r="A107" s="675"/>
      <c r="B107" s="664"/>
      <c r="C107" s="673"/>
      <c r="D107" s="1116"/>
      <c r="E107" s="971"/>
      <c r="F107" s="535"/>
      <c r="G107" s="882"/>
      <c r="H107" s="535"/>
      <c r="I107" s="554"/>
      <c r="J107" s="536"/>
      <c r="K107" s="554"/>
      <c r="L107" s="533"/>
      <c r="M107" s="678"/>
      <c r="N107" s="533"/>
      <c r="O107" s="554"/>
      <c r="P107" s="1097"/>
      <c r="Q107" s="979"/>
      <c r="R107" s="980"/>
      <c r="S107" s="980"/>
      <c r="T107" s="1088"/>
      <c r="U107" s="122" t="s">
        <v>96</v>
      </c>
      <c r="V107" s="131">
        <f>IF((V105/V106)&lt;$I$8,(V105/V106),IF((V105/V106)&lt;$J$8,(V105/V106),IF((V105/V106)&lt;$J$9,(V105/V106),IF((V105/V106)&gt;=$J$9,$J$9))))</f>
        <v>0</v>
      </c>
      <c r="W107" s="196">
        <f t="shared" ref="W107:AB107" si="50">IF((W105/W106)&lt;$I$8,(W105/W106),IF((W105/W106)&lt;$J$8,(W105/W106),IF((W105/W106)&lt;$J$9,(W105/W106),IF((W105/W106)&gt;=$J$9,$J$9))))</f>
        <v>0</v>
      </c>
      <c r="X107" s="197">
        <f>IF((X105/X106)&lt;$I$8,(X105/X106),IF((X105/X106)&lt;$J$8,(X105/X106),IF((X105/X106)&lt;$J$9,(X105/X106),IF((X105/X106)&gt;=$J$9,$J$9))))</f>
        <v>0</v>
      </c>
      <c r="Y107" s="196">
        <f t="shared" si="50"/>
        <v>0</v>
      </c>
      <c r="Z107" s="131">
        <f t="shared" si="50"/>
        <v>0</v>
      </c>
      <c r="AA107" s="196">
        <f t="shared" si="50"/>
        <v>0</v>
      </c>
      <c r="AB107" s="131">
        <f t="shared" si="50"/>
        <v>0</v>
      </c>
      <c r="AC107" s="196">
        <f>IF((AC105/AC106)&lt;$I$8,(AC105/AC106),IF((AC105/AC106)&lt;$J$8,(AC105/AC106),IF((AC105/AC106)&lt;$J$9,(AC105/AC106),IF((AC105/AC106)&gt;=$J$9,$J$9))))</f>
        <v>0</v>
      </c>
      <c r="AD107" s="650"/>
      <c r="AE107" s="653"/>
      <c r="AF107" s="653"/>
      <c r="AG107" s="653"/>
      <c r="AH107" s="554"/>
      <c r="AI107" s="554"/>
      <c r="AJ107" s="969"/>
      <c r="AK107" s="969"/>
      <c r="AL107" s="969"/>
      <c r="AM107" s="969"/>
      <c r="AN107" s="969"/>
      <c r="AO107" s="554"/>
      <c r="AP107" s="969"/>
      <c r="AQ107" s="554"/>
      <c r="AR107" s="554"/>
      <c r="AS107" s="969"/>
      <c r="AT107" s="190" t="s">
        <v>132</v>
      </c>
      <c r="AU107" s="555"/>
      <c r="AV107" s="556"/>
      <c r="AW107" s="556"/>
      <c r="AX107" s="556"/>
      <c r="AY107" s="556"/>
      <c r="AZ107" s="556"/>
      <c r="BA107" s="556"/>
      <c r="BB107" s="557"/>
      <c r="BC107" s="567"/>
      <c r="BD107" s="582"/>
      <c r="BE107" s="191"/>
      <c r="BF107" s="192"/>
    </row>
    <row r="108" spans="1:58" s="193" customFormat="1" ht="35.1" customHeight="1" x14ac:dyDescent="0.25">
      <c r="A108" s="675"/>
      <c r="B108" s="664"/>
      <c r="C108" s="665">
        <v>3</v>
      </c>
      <c r="D108" s="1116"/>
      <c r="E108" s="971"/>
      <c r="F108" s="535"/>
      <c r="G108" s="882"/>
      <c r="H108" s="535"/>
      <c r="I108" s="552" t="s">
        <v>213</v>
      </c>
      <c r="J108" s="534">
        <v>8.661711642251349E-2</v>
      </c>
      <c r="K108" s="552" t="s">
        <v>214</v>
      </c>
      <c r="L108" s="531" t="s">
        <v>215</v>
      </c>
      <c r="M108" s="678" t="str">
        <f t="shared" si="48"/>
        <v>Actas de visitas de seguimiento al cumplimiento de obligaciones por AREs declaradas al 31-12-2017 / AREs declaradas al 31-12-2017 con comunidad minera definida</v>
      </c>
      <c r="N108" s="531" t="s">
        <v>209</v>
      </c>
      <c r="O108" s="552" t="s">
        <v>199</v>
      </c>
      <c r="P108" s="1095">
        <v>5.4245787409540211E-2</v>
      </c>
      <c r="Q108" s="977" t="s">
        <v>90</v>
      </c>
      <c r="R108" s="980" t="s">
        <v>200</v>
      </c>
      <c r="S108" s="980" t="s">
        <v>200</v>
      </c>
      <c r="T108" s="1086" t="s">
        <v>201</v>
      </c>
      <c r="U108" s="188" t="s">
        <v>216</v>
      </c>
      <c r="V108" s="189"/>
      <c r="W108" s="188"/>
      <c r="X108" s="188"/>
      <c r="Y108" s="188"/>
      <c r="Z108" s="130"/>
      <c r="AA108" s="130"/>
      <c r="AB108" s="114"/>
      <c r="AC108" s="114"/>
      <c r="AD108" s="648">
        <f>+AE108+AF108+AG108</f>
        <v>112342400</v>
      </c>
      <c r="AE108" s="651">
        <v>0</v>
      </c>
      <c r="AF108" s="651">
        <f>67500000+30000000+(37106000*0.4)</f>
        <v>112342400</v>
      </c>
      <c r="AG108" s="651">
        <v>0</v>
      </c>
      <c r="AH108" s="552" t="s">
        <v>203</v>
      </c>
      <c r="AI108" s="552" t="s">
        <v>204</v>
      </c>
      <c r="AJ108" s="967" t="s">
        <v>94</v>
      </c>
      <c r="AK108" s="967"/>
      <c r="AL108" s="967"/>
      <c r="AM108" s="967" t="s">
        <v>94</v>
      </c>
      <c r="AN108" s="552" t="s">
        <v>94</v>
      </c>
      <c r="AO108" s="552"/>
      <c r="AP108" s="967"/>
      <c r="AQ108" s="552" t="s">
        <v>94</v>
      </c>
      <c r="AR108" s="552"/>
      <c r="AS108" s="967"/>
      <c r="AT108" s="190" t="s">
        <v>129</v>
      </c>
      <c r="AU108" s="116">
        <f t="shared" ref="AU108:BB108" si="51">+V110*$J$108</f>
        <v>0</v>
      </c>
      <c r="AV108" s="116">
        <f t="shared" si="51"/>
        <v>0</v>
      </c>
      <c r="AW108" s="116">
        <f t="shared" si="51"/>
        <v>0</v>
      </c>
      <c r="AX108" s="116">
        <f t="shared" si="51"/>
        <v>0</v>
      </c>
      <c r="AY108" s="116">
        <f t="shared" si="51"/>
        <v>0</v>
      </c>
      <c r="AZ108" s="116">
        <f t="shared" si="51"/>
        <v>0</v>
      </c>
      <c r="BA108" s="116">
        <f t="shared" si="51"/>
        <v>0</v>
      </c>
      <c r="BB108" s="167">
        <f t="shared" si="51"/>
        <v>0</v>
      </c>
      <c r="BC108" s="567"/>
      <c r="BD108" s="582"/>
      <c r="BE108" s="191"/>
      <c r="BF108" s="192"/>
    </row>
    <row r="109" spans="1:58" s="193" customFormat="1" ht="35.1" customHeight="1" x14ac:dyDescent="0.25">
      <c r="A109" s="675"/>
      <c r="B109" s="664"/>
      <c r="C109" s="665"/>
      <c r="D109" s="1116"/>
      <c r="E109" s="971"/>
      <c r="F109" s="535"/>
      <c r="G109" s="882"/>
      <c r="H109" s="535"/>
      <c r="I109" s="553"/>
      <c r="J109" s="535"/>
      <c r="K109" s="553"/>
      <c r="L109" s="532"/>
      <c r="M109" s="678"/>
      <c r="N109" s="532"/>
      <c r="O109" s="553"/>
      <c r="P109" s="1096"/>
      <c r="Q109" s="978"/>
      <c r="R109" s="980"/>
      <c r="S109" s="980"/>
      <c r="T109" s="1087"/>
      <c r="U109" s="121" t="s">
        <v>217</v>
      </c>
      <c r="V109" s="133">
        <v>10</v>
      </c>
      <c r="W109" s="133">
        <v>20</v>
      </c>
      <c r="X109" s="133">
        <v>20</v>
      </c>
      <c r="Y109" s="133">
        <v>14</v>
      </c>
      <c r="Z109" s="133">
        <f>SUM(V109)</f>
        <v>10</v>
      </c>
      <c r="AA109" s="133">
        <f>SUM(V109:W109)</f>
        <v>30</v>
      </c>
      <c r="AB109" s="133">
        <f>SUM(V109:X109)</f>
        <v>50</v>
      </c>
      <c r="AC109" s="133">
        <f>SUM(V109:Y109)</f>
        <v>64</v>
      </c>
      <c r="AD109" s="649"/>
      <c r="AE109" s="652"/>
      <c r="AF109" s="652"/>
      <c r="AG109" s="652"/>
      <c r="AH109" s="553"/>
      <c r="AI109" s="553"/>
      <c r="AJ109" s="968"/>
      <c r="AK109" s="968"/>
      <c r="AL109" s="968"/>
      <c r="AM109" s="968"/>
      <c r="AN109" s="553"/>
      <c r="AO109" s="553"/>
      <c r="AP109" s="968"/>
      <c r="AQ109" s="553"/>
      <c r="AR109" s="553"/>
      <c r="AS109" s="968"/>
      <c r="AT109" s="190" t="s">
        <v>131</v>
      </c>
      <c r="AU109" s="555"/>
      <c r="AV109" s="556"/>
      <c r="AW109" s="556"/>
      <c r="AX109" s="556"/>
      <c r="AY109" s="556"/>
      <c r="AZ109" s="556"/>
      <c r="BA109" s="556"/>
      <c r="BB109" s="557"/>
      <c r="BC109" s="567"/>
      <c r="BD109" s="582"/>
      <c r="BE109" s="191"/>
      <c r="BF109" s="192"/>
    </row>
    <row r="110" spans="1:58" s="193" customFormat="1" ht="24.95" customHeight="1" x14ac:dyDescent="0.25">
      <c r="A110" s="675"/>
      <c r="B110" s="664"/>
      <c r="C110" s="665"/>
      <c r="D110" s="1116"/>
      <c r="E110" s="971"/>
      <c r="F110" s="535"/>
      <c r="G110" s="882"/>
      <c r="H110" s="535"/>
      <c r="I110" s="554"/>
      <c r="J110" s="536"/>
      <c r="K110" s="554"/>
      <c r="L110" s="533"/>
      <c r="M110" s="678"/>
      <c r="N110" s="533"/>
      <c r="O110" s="554"/>
      <c r="P110" s="1097"/>
      <c r="Q110" s="979"/>
      <c r="R110" s="980"/>
      <c r="S110" s="980"/>
      <c r="T110" s="1088"/>
      <c r="U110" s="122" t="s">
        <v>96</v>
      </c>
      <c r="V110" s="196">
        <f t="shared" ref="V110:AC110" si="52">IF((V108/V109)&lt;$I$8,(V108/V109),IF((V108/V109)&lt;$J$8,(V108/V109),IF((V108/V109)&lt;$J$9,(V108/V109),IF((V108/V109)&gt;=$J$9,$J$9))))</f>
        <v>0</v>
      </c>
      <c r="W110" s="196">
        <f t="shared" si="52"/>
        <v>0</v>
      </c>
      <c r="X110" s="196">
        <f t="shared" si="52"/>
        <v>0</v>
      </c>
      <c r="Y110" s="196">
        <f t="shared" si="52"/>
        <v>0</v>
      </c>
      <c r="Z110" s="196">
        <f t="shared" si="52"/>
        <v>0</v>
      </c>
      <c r="AA110" s="196">
        <f t="shared" si="52"/>
        <v>0</v>
      </c>
      <c r="AB110" s="196">
        <f t="shared" si="52"/>
        <v>0</v>
      </c>
      <c r="AC110" s="196">
        <f t="shared" si="52"/>
        <v>0</v>
      </c>
      <c r="AD110" s="650"/>
      <c r="AE110" s="653"/>
      <c r="AF110" s="653"/>
      <c r="AG110" s="653"/>
      <c r="AH110" s="554"/>
      <c r="AI110" s="554"/>
      <c r="AJ110" s="969"/>
      <c r="AK110" s="969"/>
      <c r="AL110" s="969"/>
      <c r="AM110" s="969"/>
      <c r="AN110" s="554"/>
      <c r="AO110" s="554"/>
      <c r="AP110" s="969"/>
      <c r="AQ110" s="554"/>
      <c r="AR110" s="554"/>
      <c r="AS110" s="969"/>
      <c r="AT110" s="190" t="s">
        <v>132</v>
      </c>
      <c r="AU110" s="555"/>
      <c r="AV110" s="556"/>
      <c r="AW110" s="556"/>
      <c r="AX110" s="556"/>
      <c r="AY110" s="556"/>
      <c r="AZ110" s="556"/>
      <c r="BA110" s="556"/>
      <c r="BB110" s="557"/>
      <c r="BC110" s="567"/>
      <c r="BD110" s="582"/>
      <c r="BE110" s="191"/>
      <c r="BF110" s="192"/>
    </row>
    <row r="111" spans="1:58" s="193" customFormat="1" ht="35.1" customHeight="1" x14ac:dyDescent="0.25">
      <c r="A111" s="675"/>
      <c r="B111" s="134"/>
      <c r="C111" s="673">
        <v>4</v>
      </c>
      <c r="D111" s="1116"/>
      <c r="E111" s="971"/>
      <c r="F111" s="535"/>
      <c r="G111" s="882"/>
      <c r="H111" s="535"/>
      <c r="I111" s="552" t="s">
        <v>218</v>
      </c>
      <c r="J111" s="534">
        <v>0.22057825751734772</v>
      </c>
      <c r="K111" s="552" t="s">
        <v>219</v>
      </c>
      <c r="L111" s="531" t="s">
        <v>220</v>
      </c>
      <c r="M111" s="678" t="str">
        <f t="shared" si="48"/>
        <v># de visitas de asistencia técnica realizadas a las UPM priorizadas por la VPF / # de visitas de asistencia técnica programadas a las UPM priorizadas por la VPF</v>
      </c>
      <c r="N111" s="531" t="s">
        <v>209</v>
      </c>
      <c r="O111" s="552" t="s">
        <v>221</v>
      </c>
      <c r="P111" s="1095">
        <v>0.12814176410683195</v>
      </c>
      <c r="Q111" s="977">
        <f>28+20</f>
        <v>48</v>
      </c>
      <c r="R111" s="980" t="s">
        <v>200</v>
      </c>
      <c r="S111" s="980" t="s">
        <v>200</v>
      </c>
      <c r="T111" s="1086" t="s">
        <v>222</v>
      </c>
      <c r="U111" s="188" t="s">
        <v>223</v>
      </c>
      <c r="V111" s="189"/>
      <c r="W111" s="188"/>
      <c r="X111" s="188"/>
      <c r="Y111" s="188"/>
      <c r="Z111" s="130"/>
      <c r="AA111" s="130"/>
      <c r="AB111" s="114"/>
      <c r="AC111" s="114"/>
      <c r="AD111" s="648">
        <f>+AE111+AF111+AG111</f>
        <v>286090000</v>
      </c>
      <c r="AE111" s="651">
        <v>0</v>
      </c>
      <c r="AF111" s="651">
        <f>169000000+117090000</f>
        <v>286090000</v>
      </c>
      <c r="AG111" s="651">
        <v>0</v>
      </c>
      <c r="AH111" s="552" t="s">
        <v>203</v>
      </c>
      <c r="AI111" s="552" t="s">
        <v>204</v>
      </c>
      <c r="AJ111" s="967" t="s">
        <v>94</v>
      </c>
      <c r="AK111" s="967"/>
      <c r="AL111" s="967"/>
      <c r="AM111" s="967" t="s">
        <v>94</v>
      </c>
      <c r="AN111" s="967"/>
      <c r="AO111" s="552" t="s">
        <v>94</v>
      </c>
      <c r="AP111" s="967"/>
      <c r="AQ111" s="552" t="s">
        <v>94</v>
      </c>
      <c r="AR111" s="552"/>
      <c r="AS111" s="967"/>
      <c r="AT111" s="190" t="s">
        <v>129</v>
      </c>
      <c r="AU111" s="131">
        <f t="shared" ref="AU111:BB111" si="53">+V113*$J$111</f>
        <v>0</v>
      </c>
      <c r="AV111" s="131">
        <f t="shared" si="53"/>
        <v>0</v>
      </c>
      <c r="AW111" s="131">
        <f t="shared" si="53"/>
        <v>0</v>
      </c>
      <c r="AX111" s="116">
        <f t="shared" si="53"/>
        <v>0</v>
      </c>
      <c r="AY111" s="131">
        <f t="shared" si="53"/>
        <v>0</v>
      </c>
      <c r="AZ111" s="131">
        <f t="shared" si="53"/>
        <v>0</v>
      </c>
      <c r="BA111" s="131">
        <f t="shared" si="53"/>
        <v>0</v>
      </c>
      <c r="BB111" s="167">
        <f t="shared" si="53"/>
        <v>0</v>
      </c>
      <c r="BC111" s="567"/>
      <c r="BD111" s="582"/>
      <c r="BE111" s="191"/>
      <c r="BF111" s="192"/>
    </row>
    <row r="112" spans="1:58" s="193" customFormat="1" ht="35.1" customHeight="1" x14ac:dyDescent="0.25">
      <c r="A112" s="675"/>
      <c r="B112" s="134"/>
      <c r="C112" s="673"/>
      <c r="D112" s="1116"/>
      <c r="E112" s="971"/>
      <c r="F112" s="535"/>
      <c r="G112" s="882"/>
      <c r="H112" s="535"/>
      <c r="I112" s="553"/>
      <c r="J112" s="535"/>
      <c r="K112" s="553"/>
      <c r="L112" s="532"/>
      <c r="M112" s="678"/>
      <c r="N112" s="532"/>
      <c r="O112" s="553"/>
      <c r="P112" s="1096"/>
      <c r="Q112" s="978"/>
      <c r="R112" s="980"/>
      <c r="S112" s="980"/>
      <c r="T112" s="1087"/>
      <c r="U112" s="121" t="s">
        <v>224</v>
      </c>
      <c r="V112" s="133">
        <v>0.01</v>
      </c>
      <c r="W112" s="133">
        <v>0.01</v>
      </c>
      <c r="X112" s="133">
        <v>0.01</v>
      </c>
      <c r="Y112" s="133">
        <v>10</v>
      </c>
      <c r="Z112" s="133">
        <f>SUM(V112)</f>
        <v>0.01</v>
      </c>
      <c r="AA112" s="133">
        <f>SUM(V112:W112)</f>
        <v>0.02</v>
      </c>
      <c r="AB112" s="133">
        <f>SUM(V112:X112)</f>
        <v>0.03</v>
      </c>
      <c r="AC112" s="133">
        <f>SUM(V112:Y112)</f>
        <v>10.029999999999999</v>
      </c>
      <c r="AD112" s="649"/>
      <c r="AE112" s="652"/>
      <c r="AF112" s="652"/>
      <c r="AG112" s="652"/>
      <c r="AH112" s="553"/>
      <c r="AI112" s="553"/>
      <c r="AJ112" s="968"/>
      <c r="AK112" s="968"/>
      <c r="AL112" s="968"/>
      <c r="AM112" s="968"/>
      <c r="AN112" s="968"/>
      <c r="AO112" s="553"/>
      <c r="AP112" s="968"/>
      <c r="AQ112" s="553"/>
      <c r="AR112" s="553"/>
      <c r="AS112" s="968"/>
      <c r="AT112" s="190" t="s">
        <v>131</v>
      </c>
      <c r="AU112" s="555"/>
      <c r="AV112" s="556"/>
      <c r="AW112" s="556"/>
      <c r="AX112" s="556"/>
      <c r="AY112" s="556"/>
      <c r="AZ112" s="556"/>
      <c r="BA112" s="556"/>
      <c r="BB112" s="557"/>
      <c r="BC112" s="567"/>
      <c r="BD112" s="582"/>
      <c r="BE112" s="191"/>
      <c r="BF112" s="192"/>
    </row>
    <row r="113" spans="1:60" s="193" customFormat="1" ht="24.95" customHeight="1" x14ac:dyDescent="0.25">
      <c r="A113" s="675"/>
      <c r="B113" s="134"/>
      <c r="C113" s="673"/>
      <c r="D113" s="1116"/>
      <c r="E113" s="971"/>
      <c r="F113" s="535"/>
      <c r="G113" s="882"/>
      <c r="H113" s="535"/>
      <c r="I113" s="554"/>
      <c r="J113" s="536"/>
      <c r="K113" s="554"/>
      <c r="L113" s="533"/>
      <c r="M113" s="678"/>
      <c r="N113" s="533"/>
      <c r="O113" s="554"/>
      <c r="P113" s="1097"/>
      <c r="Q113" s="979"/>
      <c r="R113" s="980"/>
      <c r="S113" s="980"/>
      <c r="T113" s="1088"/>
      <c r="U113" s="122" t="s">
        <v>96</v>
      </c>
      <c r="V113" s="131">
        <f t="shared" ref="V113:AC113" si="54">IF((V111/V112)&lt;$I$8,(V111/V112),IF((V111/V112)&lt;$J$8,(V111/V112),IF((V111/V112)&lt;$J$9,(V111/V112),IF((V111/V112)&gt;=$J$9,$J$9))))</f>
        <v>0</v>
      </c>
      <c r="W113" s="131">
        <f t="shared" si="54"/>
        <v>0</v>
      </c>
      <c r="X113" s="131">
        <f t="shared" si="54"/>
        <v>0</v>
      </c>
      <c r="Y113" s="196">
        <f t="shared" si="54"/>
        <v>0</v>
      </c>
      <c r="Z113" s="197">
        <f t="shared" si="54"/>
        <v>0</v>
      </c>
      <c r="AA113" s="197">
        <f t="shared" si="54"/>
        <v>0</v>
      </c>
      <c r="AB113" s="131">
        <f t="shared" si="54"/>
        <v>0</v>
      </c>
      <c r="AC113" s="196">
        <f t="shared" si="54"/>
        <v>0</v>
      </c>
      <c r="AD113" s="650"/>
      <c r="AE113" s="653"/>
      <c r="AF113" s="653"/>
      <c r="AG113" s="653"/>
      <c r="AH113" s="554"/>
      <c r="AI113" s="554"/>
      <c r="AJ113" s="969"/>
      <c r="AK113" s="969"/>
      <c r="AL113" s="969"/>
      <c r="AM113" s="969"/>
      <c r="AN113" s="969"/>
      <c r="AO113" s="554"/>
      <c r="AP113" s="969"/>
      <c r="AQ113" s="554"/>
      <c r="AR113" s="554"/>
      <c r="AS113" s="969"/>
      <c r="AT113" s="190" t="s">
        <v>132</v>
      </c>
      <c r="AU113" s="555"/>
      <c r="AV113" s="556"/>
      <c r="AW113" s="556"/>
      <c r="AX113" s="556"/>
      <c r="AY113" s="556"/>
      <c r="AZ113" s="556"/>
      <c r="BA113" s="556"/>
      <c r="BB113" s="557"/>
      <c r="BC113" s="567"/>
      <c r="BD113" s="582"/>
      <c r="BE113" s="191"/>
      <c r="BF113" s="192"/>
    </row>
    <row r="114" spans="1:60" s="193" customFormat="1" ht="35.1" customHeight="1" x14ac:dyDescent="0.25">
      <c r="A114" s="675"/>
      <c r="B114" s="664"/>
      <c r="C114" s="673">
        <v>5</v>
      </c>
      <c r="D114" s="1116"/>
      <c r="E114" s="971"/>
      <c r="F114" s="535"/>
      <c r="G114" s="882"/>
      <c r="H114" s="535"/>
      <c r="I114" s="552" t="s">
        <v>225</v>
      </c>
      <c r="J114" s="534">
        <v>9.714726291441789E-3</v>
      </c>
      <c r="K114" s="552" t="s">
        <v>226</v>
      </c>
      <c r="L114" s="531" t="s">
        <v>227</v>
      </c>
      <c r="M114" s="678" t="str">
        <f t="shared" si="48"/>
        <v># de solicitudes de ZM en trámite al 31-12-2017 resueltas de fondo / # de solicitudes de ZM en trámite al 31-12-2017 priorizadas para resolver</v>
      </c>
      <c r="N114" s="531" t="s">
        <v>198</v>
      </c>
      <c r="O114" s="552" t="s">
        <v>210</v>
      </c>
      <c r="P114" s="1095">
        <v>6.0840512696916449E-3</v>
      </c>
      <c r="Q114" s="537">
        <f>27/54</f>
        <v>0.5</v>
      </c>
      <c r="R114" s="980" t="s">
        <v>200</v>
      </c>
      <c r="S114" s="1100">
        <f>10/37</f>
        <v>0.27027027027027029</v>
      </c>
      <c r="T114" s="1086" t="s">
        <v>201</v>
      </c>
      <c r="U114" s="188" t="s">
        <v>228</v>
      </c>
      <c r="V114" s="189"/>
      <c r="W114" s="189"/>
      <c r="X114" s="189"/>
      <c r="Y114" s="188"/>
      <c r="Z114" s="130"/>
      <c r="AA114" s="130"/>
      <c r="AB114" s="114"/>
      <c r="AC114" s="114"/>
      <c r="AD114" s="648">
        <f>+AE114+AF114+AG114</f>
        <v>12600000</v>
      </c>
      <c r="AE114" s="651">
        <v>0</v>
      </c>
      <c r="AF114" s="651">
        <v>12600000</v>
      </c>
      <c r="AG114" s="651">
        <v>0</v>
      </c>
      <c r="AH114" s="552" t="s">
        <v>203</v>
      </c>
      <c r="AI114" s="552" t="s">
        <v>204</v>
      </c>
      <c r="AJ114" s="967" t="s">
        <v>94</v>
      </c>
      <c r="AK114" s="967"/>
      <c r="AL114" s="967"/>
      <c r="AM114" s="967"/>
      <c r="AN114" s="967"/>
      <c r="AO114" s="552" t="s">
        <v>94</v>
      </c>
      <c r="AP114" s="967"/>
      <c r="AQ114" s="552" t="s">
        <v>94</v>
      </c>
      <c r="AR114" s="552"/>
      <c r="AS114" s="967"/>
      <c r="AT114" s="190" t="s">
        <v>129</v>
      </c>
      <c r="AU114" s="131">
        <f t="shared" ref="AU114:BB114" si="55">+V116*$J$114</f>
        <v>0</v>
      </c>
      <c r="AV114" s="116">
        <f t="shared" si="55"/>
        <v>0</v>
      </c>
      <c r="AW114" s="131">
        <f t="shared" si="55"/>
        <v>0</v>
      </c>
      <c r="AX114" s="116">
        <f t="shared" si="55"/>
        <v>0</v>
      </c>
      <c r="AY114" s="131">
        <f t="shared" si="55"/>
        <v>0</v>
      </c>
      <c r="AZ114" s="116">
        <f t="shared" si="55"/>
        <v>0</v>
      </c>
      <c r="BA114" s="131">
        <f t="shared" si="55"/>
        <v>0</v>
      </c>
      <c r="BB114" s="167">
        <f t="shared" si="55"/>
        <v>0</v>
      </c>
      <c r="BC114" s="567"/>
      <c r="BD114" s="582"/>
      <c r="BE114" s="191"/>
      <c r="BF114" s="192"/>
    </row>
    <row r="115" spans="1:60" s="193" customFormat="1" ht="35.1" customHeight="1" x14ac:dyDescent="0.25">
      <c r="A115" s="675"/>
      <c r="B115" s="664"/>
      <c r="C115" s="673"/>
      <c r="D115" s="1116"/>
      <c r="E115" s="971"/>
      <c r="F115" s="535"/>
      <c r="G115" s="882"/>
      <c r="H115" s="535"/>
      <c r="I115" s="553"/>
      <c r="J115" s="535"/>
      <c r="K115" s="553"/>
      <c r="L115" s="532"/>
      <c r="M115" s="678"/>
      <c r="N115" s="532"/>
      <c r="O115" s="553"/>
      <c r="P115" s="1096"/>
      <c r="Q115" s="538"/>
      <c r="R115" s="980"/>
      <c r="S115" s="1101"/>
      <c r="T115" s="1087"/>
      <c r="U115" s="121" t="s">
        <v>229</v>
      </c>
      <c r="V115" s="133">
        <v>0.01</v>
      </c>
      <c r="W115" s="133">
        <v>2</v>
      </c>
      <c r="X115" s="133">
        <v>0.01</v>
      </c>
      <c r="Y115" s="133">
        <v>8</v>
      </c>
      <c r="Z115" s="133">
        <f>SUM(V115)</f>
        <v>0.01</v>
      </c>
      <c r="AA115" s="133">
        <f>SUM(V115:W115)</f>
        <v>2.0099999999999998</v>
      </c>
      <c r="AB115" s="133">
        <f>SUM(V115:X115)</f>
        <v>2.0199999999999996</v>
      </c>
      <c r="AC115" s="133">
        <f>SUM(V115:Y115)</f>
        <v>10.02</v>
      </c>
      <c r="AD115" s="649"/>
      <c r="AE115" s="652"/>
      <c r="AF115" s="652"/>
      <c r="AG115" s="652"/>
      <c r="AH115" s="553"/>
      <c r="AI115" s="553"/>
      <c r="AJ115" s="968"/>
      <c r="AK115" s="968"/>
      <c r="AL115" s="968"/>
      <c r="AM115" s="968"/>
      <c r="AN115" s="968"/>
      <c r="AO115" s="553"/>
      <c r="AP115" s="968"/>
      <c r="AQ115" s="553"/>
      <c r="AR115" s="553"/>
      <c r="AS115" s="968"/>
      <c r="AT115" s="190" t="s">
        <v>131</v>
      </c>
      <c r="AU115" s="555"/>
      <c r="AV115" s="556"/>
      <c r="AW115" s="556"/>
      <c r="AX115" s="556"/>
      <c r="AY115" s="556"/>
      <c r="AZ115" s="556"/>
      <c r="BA115" s="556"/>
      <c r="BB115" s="557"/>
      <c r="BC115" s="567"/>
      <c r="BD115" s="582"/>
      <c r="BE115" s="191"/>
      <c r="BF115" s="192"/>
    </row>
    <row r="116" spans="1:60" s="193" customFormat="1" ht="24.95" customHeight="1" x14ac:dyDescent="0.25">
      <c r="A116" s="675"/>
      <c r="B116" s="664"/>
      <c r="C116" s="673"/>
      <c r="D116" s="1116"/>
      <c r="E116" s="972"/>
      <c r="F116" s="536"/>
      <c r="G116" s="883"/>
      <c r="H116" s="530"/>
      <c r="I116" s="554"/>
      <c r="J116" s="536"/>
      <c r="K116" s="554"/>
      <c r="L116" s="533"/>
      <c r="M116" s="678"/>
      <c r="N116" s="533"/>
      <c r="O116" s="554"/>
      <c r="P116" s="1097"/>
      <c r="Q116" s="539"/>
      <c r="R116" s="980"/>
      <c r="S116" s="1102"/>
      <c r="T116" s="1088"/>
      <c r="U116" s="122" t="s">
        <v>96</v>
      </c>
      <c r="V116" s="131">
        <f>IF((V114/V115)&lt;$I$8,(V114/V115),IF((V114/V115)&lt;$J$8,(V114/V115),IF((V114/V115)&lt;$J$9,(V114/V115),IF((V114/V115)&gt;=$J$9,$J$9))))</f>
        <v>0</v>
      </c>
      <c r="W116" s="196">
        <f t="shared" ref="W116:AC116" si="56">IF((W114/W115)&lt;$I$8,(W114/W115),IF((W114/W115)&lt;$J$8,(W114/W115),IF((W114/W115)&lt;$J$9,(W114/W115),IF((W114/W115)&gt;=$J$9,$J$9))))</f>
        <v>0</v>
      </c>
      <c r="X116" s="131">
        <f>IF((X114/X115)&lt;$I$8,(X114/X115),IF((X114/X115)&lt;$J$8,(X114/X115),IF((X114/X115)&lt;$J$9,(X114/X115),IF((X114/X115)&gt;=$J$9,$J$9))))</f>
        <v>0</v>
      </c>
      <c r="Y116" s="196">
        <f t="shared" si="56"/>
        <v>0</v>
      </c>
      <c r="Z116" s="131">
        <f t="shared" si="56"/>
        <v>0</v>
      </c>
      <c r="AA116" s="196">
        <f t="shared" si="56"/>
        <v>0</v>
      </c>
      <c r="AB116" s="197">
        <f t="shared" si="56"/>
        <v>0</v>
      </c>
      <c r="AC116" s="196">
        <f t="shared" si="56"/>
        <v>0</v>
      </c>
      <c r="AD116" s="650"/>
      <c r="AE116" s="653"/>
      <c r="AF116" s="653"/>
      <c r="AG116" s="653"/>
      <c r="AH116" s="554"/>
      <c r="AI116" s="554"/>
      <c r="AJ116" s="969"/>
      <c r="AK116" s="969"/>
      <c r="AL116" s="969"/>
      <c r="AM116" s="969"/>
      <c r="AN116" s="969"/>
      <c r="AO116" s="554"/>
      <c r="AP116" s="969"/>
      <c r="AQ116" s="554"/>
      <c r="AR116" s="554"/>
      <c r="AS116" s="969"/>
      <c r="AT116" s="190" t="s">
        <v>132</v>
      </c>
      <c r="AU116" s="555"/>
      <c r="AV116" s="556"/>
      <c r="AW116" s="556"/>
      <c r="AX116" s="556"/>
      <c r="AY116" s="556"/>
      <c r="AZ116" s="556"/>
      <c r="BA116" s="556"/>
      <c r="BB116" s="557"/>
      <c r="BC116" s="567"/>
      <c r="BD116" s="582"/>
      <c r="BE116" s="191"/>
      <c r="BF116" s="192"/>
    </row>
    <row r="117" spans="1:60" s="193" customFormat="1" ht="35.1" customHeight="1" x14ac:dyDescent="0.25">
      <c r="A117" s="668" t="s">
        <v>230</v>
      </c>
      <c r="B117" s="800"/>
      <c r="C117" s="673">
        <v>6</v>
      </c>
      <c r="D117" s="1116"/>
      <c r="E117" s="970" t="s">
        <v>231</v>
      </c>
      <c r="F117" s="534">
        <v>0.1</v>
      </c>
      <c r="G117" s="881" t="s">
        <v>232</v>
      </c>
      <c r="H117" s="534">
        <v>0.1</v>
      </c>
      <c r="I117" s="552" t="s">
        <v>233</v>
      </c>
      <c r="J117" s="534">
        <f>+AD117/AD117</f>
        <v>1</v>
      </c>
      <c r="K117" s="552" t="s">
        <v>234</v>
      </c>
      <c r="L117" s="531" t="s">
        <v>235</v>
      </c>
      <c r="M117" s="678" t="str">
        <f t="shared" si="48"/>
        <v>Propuestas de inclusión del uso minero en los POT/POD de las entidades territoriales priorizadas por la VPF / Entidades territoriales priorizadas por la VPF</v>
      </c>
      <c r="N117" s="531" t="s">
        <v>236</v>
      </c>
      <c r="O117" s="552" t="s">
        <v>210</v>
      </c>
      <c r="P117" s="1095">
        <v>6.2766387740358573E-2</v>
      </c>
      <c r="Q117" s="980">
        <v>27</v>
      </c>
      <c r="R117" s="980" t="s">
        <v>200</v>
      </c>
      <c r="S117" s="980" t="s">
        <v>200</v>
      </c>
      <c r="T117" s="1086" t="s">
        <v>201</v>
      </c>
      <c r="U117" s="188" t="s">
        <v>237</v>
      </c>
      <c r="V117" s="189"/>
      <c r="W117" s="189"/>
      <c r="X117" s="198"/>
      <c r="Y117" s="188"/>
      <c r="Z117" s="130"/>
      <c r="AA117" s="130"/>
      <c r="AB117" s="114"/>
      <c r="AC117" s="114"/>
      <c r="AD117" s="648">
        <f>+AE117+AF117+AG117</f>
        <v>129988465</v>
      </c>
      <c r="AE117" s="651">
        <v>0</v>
      </c>
      <c r="AF117" s="651">
        <f>((5625000*11.5)/2)+97644715</f>
        <v>129988465</v>
      </c>
      <c r="AG117" s="651">
        <v>0</v>
      </c>
      <c r="AH117" s="552" t="s">
        <v>203</v>
      </c>
      <c r="AI117" s="552" t="s">
        <v>204</v>
      </c>
      <c r="AJ117" s="967" t="s">
        <v>94</v>
      </c>
      <c r="AK117" s="967"/>
      <c r="AL117" s="967"/>
      <c r="AM117" s="967" t="s">
        <v>94</v>
      </c>
      <c r="AN117" s="552" t="s">
        <v>94</v>
      </c>
      <c r="AO117" s="552"/>
      <c r="AP117" s="967"/>
      <c r="AQ117" s="552" t="s">
        <v>94</v>
      </c>
      <c r="AR117" s="552"/>
      <c r="AS117" s="967"/>
      <c r="AT117" s="190" t="s">
        <v>129</v>
      </c>
      <c r="AU117" s="131">
        <f t="shared" ref="AU117:BB117" si="57">+V119*$J$117</f>
        <v>0</v>
      </c>
      <c r="AV117" s="116">
        <f t="shared" si="57"/>
        <v>0</v>
      </c>
      <c r="AW117" s="131">
        <f t="shared" si="57"/>
        <v>0</v>
      </c>
      <c r="AX117" s="116">
        <f t="shared" si="57"/>
        <v>0</v>
      </c>
      <c r="AY117" s="131">
        <f t="shared" si="57"/>
        <v>0</v>
      </c>
      <c r="AZ117" s="116">
        <f t="shared" si="57"/>
        <v>0</v>
      </c>
      <c r="BA117" s="131">
        <f t="shared" si="57"/>
        <v>0</v>
      </c>
      <c r="BB117" s="167">
        <f t="shared" si="57"/>
        <v>0</v>
      </c>
      <c r="BC117" s="567"/>
      <c r="BD117" s="582"/>
      <c r="BE117" s="191"/>
      <c r="BF117" s="192"/>
    </row>
    <row r="118" spans="1:60" s="193" customFormat="1" ht="35.1" customHeight="1" x14ac:dyDescent="0.25">
      <c r="A118" s="668"/>
      <c r="B118" s="800"/>
      <c r="C118" s="673"/>
      <c r="D118" s="1116"/>
      <c r="E118" s="971"/>
      <c r="F118" s="535"/>
      <c r="G118" s="882"/>
      <c r="H118" s="535"/>
      <c r="I118" s="553"/>
      <c r="J118" s="535"/>
      <c r="K118" s="553"/>
      <c r="L118" s="532"/>
      <c r="M118" s="678"/>
      <c r="N118" s="532"/>
      <c r="O118" s="553"/>
      <c r="P118" s="1096"/>
      <c r="Q118" s="980"/>
      <c r="R118" s="980"/>
      <c r="S118" s="980"/>
      <c r="T118" s="1087"/>
      <c r="U118" s="121" t="s">
        <v>238</v>
      </c>
      <c r="V118" s="133">
        <v>0.01</v>
      </c>
      <c r="W118" s="133">
        <v>4</v>
      </c>
      <c r="X118" s="133">
        <v>0.01</v>
      </c>
      <c r="Y118" s="133">
        <v>6</v>
      </c>
      <c r="Z118" s="133">
        <f>SUM(V118)</f>
        <v>0.01</v>
      </c>
      <c r="AA118" s="133">
        <f>SUM(V118:W118)</f>
        <v>4.01</v>
      </c>
      <c r="AB118" s="133">
        <f>SUM(V118:X118)</f>
        <v>4.0199999999999996</v>
      </c>
      <c r="AC118" s="133">
        <f>SUM(V118:Y118)</f>
        <v>10.02</v>
      </c>
      <c r="AD118" s="649"/>
      <c r="AE118" s="652"/>
      <c r="AF118" s="652"/>
      <c r="AG118" s="652"/>
      <c r="AH118" s="553"/>
      <c r="AI118" s="553"/>
      <c r="AJ118" s="968"/>
      <c r="AK118" s="968"/>
      <c r="AL118" s="968"/>
      <c r="AM118" s="968"/>
      <c r="AN118" s="553"/>
      <c r="AO118" s="553"/>
      <c r="AP118" s="968"/>
      <c r="AQ118" s="553"/>
      <c r="AR118" s="553"/>
      <c r="AS118" s="968"/>
      <c r="AT118" s="190" t="s">
        <v>131</v>
      </c>
      <c r="AU118" s="123">
        <f>+AU117*$H$117</f>
        <v>0</v>
      </c>
      <c r="AV118" s="123">
        <f t="shared" ref="AV118:BB118" si="58">+AV117*$H$117</f>
        <v>0</v>
      </c>
      <c r="AW118" s="123">
        <f t="shared" si="58"/>
        <v>0</v>
      </c>
      <c r="AX118" s="123">
        <f t="shared" si="58"/>
        <v>0</v>
      </c>
      <c r="AY118" s="123">
        <f t="shared" si="58"/>
        <v>0</v>
      </c>
      <c r="AZ118" s="123">
        <f t="shared" si="58"/>
        <v>0</v>
      </c>
      <c r="BA118" s="123">
        <f t="shared" si="58"/>
        <v>0</v>
      </c>
      <c r="BB118" s="123">
        <f t="shared" si="58"/>
        <v>0</v>
      </c>
      <c r="BC118" s="567"/>
      <c r="BD118" s="582"/>
      <c r="BE118" s="191"/>
      <c r="BF118" s="192"/>
    </row>
    <row r="119" spans="1:60" s="193" customFormat="1" ht="24.95" customHeight="1" x14ac:dyDescent="0.25">
      <c r="A119" s="668"/>
      <c r="B119" s="800"/>
      <c r="C119" s="673"/>
      <c r="D119" s="1116"/>
      <c r="E119" s="972"/>
      <c r="F119" s="536"/>
      <c r="G119" s="883"/>
      <c r="H119" s="536"/>
      <c r="I119" s="554"/>
      <c r="J119" s="536"/>
      <c r="K119" s="554"/>
      <c r="L119" s="533"/>
      <c r="M119" s="678"/>
      <c r="N119" s="533"/>
      <c r="O119" s="554"/>
      <c r="P119" s="1097"/>
      <c r="Q119" s="980"/>
      <c r="R119" s="980"/>
      <c r="S119" s="980"/>
      <c r="T119" s="1088"/>
      <c r="U119" s="122" t="s">
        <v>96</v>
      </c>
      <c r="V119" s="131">
        <f t="shared" ref="V119:AC119" si="59">IF((V117/V118)&lt;$I$8,(V117/V118),IF((V117/V118)&lt;$J$8,(V117/V118),IF((V117/V118)&lt;$J$9,(V117/V118),IF((V117/V118)&gt;=$J$9,$J$9))))</f>
        <v>0</v>
      </c>
      <c r="W119" s="196">
        <f t="shared" si="59"/>
        <v>0</v>
      </c>
      <c r="X119" s="131">
        <f t="shared" si="59"/>
        <v>0</v>
      </c>
      <c r="Y119" s="196">
        <f t="shared" si="59"/>
        <v>0</v>
      </c>
      <c r="Z119" s="197">
        <f t="shared" si="59"/>
        <v>0</v>
      </c>
      <c r="AA119" s="196">
        <f t="shared" si="59"/>
        <v>0</v>
      </c>
      <c r="AB119" s="197">
        <f t="shared" si="59"/>
        <v>0</v>
      </c>
      <c r="AC119" s="196">
        <f t="shared" si="59"/>
        <v>0</v>
      </c>
      <c r="AD119" s="650"/>
      <c r="AE119" s="653"/>
      <c r="AF119" s="653"/>
      <c r="AG119" s="653"/>
      <c r="AH119" s="554"/>
      <c r="AI119" s="554"/>
      <c r="AJ119" s="969"/>
      <c r="AK119" s="969"/>
      <c r="AL119" s="969"/>
      <c r="AM119" s="969"/>
      <c r="AN119" s="554"/>
      <c r="AO119" s="554"/>
      <c r="AP119" s="969"/>
      <c r="AQ119" s="554"/>
      <c r="AR119" s="554"/>
      <c r="AS119" s="969"/>
      <c r="AT119" s="190" t="s">
        <v>132</v>
      </c>
      <c r="AU119" s="555"/>
      <c r="AV119" s="556"/>
      <c r="AW119" s="556"/>
      <c r="AX119" s="556"/>
      <c r="AY119" s="556"/>
      <c r="AZ119" s="556"/>
      <c r="BA119" s="556"/>
      <c r="BB119" s="557"/>
      <c r="BC119" s="568"/>
      <c r="BD119" s="582"/>
      <c r="BE119" s="191"/>
      <c r="BF119" s="192"/>
    </row>
    <row r="120" spans="1:60" s="120" customFormat="1" ht="35.1" customHeight="1" x14ac:dyDescent="0.25">
      <c r="A120" s="675"/>
      <c r="B120" s="664"/>
      <c r="C120" s="673">
        <v>7</v>
      </c>
      <c r="D120" s="1116"/>
      <c r="E120" s="1098" t="s">
        <v>239</v>
      </c>
      <c r="F120" s="1099">
        <v>0.05</v>
      </c>
      <c r="G120" s="881" t="s">
        <v>240</v>
      </c>
      <c r="H120" s="534">
        <v>1</v>
      </c>
      <c r="I120" s="552" t="s">
        <v>241</v>
      </c>
      <c r="J120" s="534">
        <f>+AD120/AD120</f>
        <v>1</v>
      </c>
      <c r="K120" s="552" t="s">
        <v>242</v>
      </c>
      <c r="L120" s="531" t="s">
        <v>243</v>
      </c>
      <c r="M120" s="678" t="str">
        <f t="shared" si="48"/>
        <v>Documentos de alinderación de áreas libres susceptibles de reservar para una posible delimitación y declaración de AEM / Áreas priorizadas para una posible delimitación y declaración de AEM</v>
      </c>
      <c r="N120" s="531" t="s">
        <v>244</v>
      </c>
      <c r="O120" s="552" t="s">
        <v>210</v>
      </c>
      <c r="P120" s="1095">
        <v>0.03</v>
      </c>
      <c r="Q120" s="977">
        <v>2</v>
      </c>
      <c r="R120" s="980" t="s">
        <v>200</v>
      </c>
      <c r="S120" s="980" t="s">
        <v>200</v>
      </c>
      <c r="T120" s="1086" t="s">
        <v>201</v>
      </c>
      <c r="U120" s="188" t="s">
        <v>245</v>
      </c>
      <c r="V120" s="189"/>
      <c r="W120" s="189"/>
      <c r="X120" s="189"/>
      <c r="Y120" s="189"/>
      <c r="Z120" s="130"/>
      <c r="AA120" s="130"/>
      <c r="AB120" s="114"/>
      <c r="AC120" s="114"/>
      <c r="AD120" s="648">
        <f>+AE120+AF120+AG120</f>
        <v>69333333.333333343</v>
      </c>
      <c r="AE120" s="651">
        <v>0</v>
      </c>
      <c r="AF120" s="651">
        <f>36000000+(77000000/3)+(23000000/3)</f>
        <v>69333333.333333343</v>
      </c>
      <c r="AG120" s="651">
        <v>0</v>
      </c>
      <c r="AH120" s="552" t="s">
        <v>246</v>
      </c>
      <c r="AI120" s="552" t="s">
        <v>247</v>
      </c>
      <c r="AJ120" s="967" t="s">
        <v>94</v>
      </c>
      <c r="AK120" s="967"/>
      <c r="AL120" s="967"/>
      <c r="AM120" s="967"/>
      <c r="AN120" s="552" t="s">
        <v>94</v>
      </c>
      <c r="AO120" s="552"/>
      <c r="AP120" s="967"/>
      <c r="AQ120" s="552" t="s">
        <v>94</v>
      </c>
      <c r="AR120" s="552"/>
      <c r="AS120" s="967"/>
      <c r="AT120" s="190" t="s">
        <v>129</v>
      </c>
      <c r="AU120" s="131">
        <f t="shared" ref="AU120:BB120" si="60">+V122*$J$120</f>
        <v>0</v>
      </c>
      <c r="AV120" s="116">
        <f t="shared" si="60"/>
        <v>0</v>
      </c>
      <c r="AW120" s="131">
        <f t="shared" si="60"/>
        <v>0</v>
      </c>
      <c r="AX120" s="116">
        <f t="shared" si="60"/>
        <v>0</v>
      </c>
      <c r="AY120" s="131">
        <f t="shared" si="60"/>
        <v>0</v>
      </c>
      <c r="AZ120" s="116">
        <f t="shared" si="60"/>
        <v>0</v>
      </c>
      <c r="BA120" s="131">
        <f t="shared" si="60"/>
        <v>0</v>
      </c>
      <c r="BB120" s="167">
        <f t="shared" si="60"/>
        <v>0</v>
      </c>
      <c r="BC120" s="566">
        <f>+BB122</f>
        <v>0</v>
      </c>
      <c r="BD120" s="582"/>
      <c r="BE120" s="191"/>
      <c r="BF120" s="192"/>
      <c r="BG120" s="193"/>
      <c r="BH120" s="193"/>
    </row>
    <row r="121" spans="1:60" s="120" customFormat="1" ht="35.1" customHeight="1" thickBot="1" x14ac:dyDescent="0.3">
      <c r="A121" s="675"/>
      <c r="B121" s="664"/>
      <c r="C121" s="673"/>
      <c r="D121" s="1116"/>
      <c r="E121" s="1098"/>
      <c r="F121" s="1099"/>
      <c r="G121" s="882"/>
      <c r="H121" s="535"/>
      <c r="I121" s="553"/>
      <c r="J121" s="535"/>
      <c r="K121" s="553"/>
      <c r="L121" s="532"/>
      <c r="M121" s="678"/>
      <c r="N121" s="532"/>
      <c r="O121" s="553"/>
      <c r="P121" s="1096"/>
      <c r="Q121" s="978"/>
      <c r="R121" s="980"/>
      <c r="S121" s="980"/>
      <c r="T121" s="1087"/>
      <c r="U121" s="121" t="s">
        <v>248</v>
      </c>
      <c r="V121" s="133">
        <v>1.0000000000000001E-5</v>
      </c>
      <c r="W121" s="133">
        <v>1</v>
      </c>
      <c r="X121" s="133">
        <v>1.0000000000000001E-5</v>
      </c>
      <c r="Y121" s="133">
        <v>1</v>
      </c>
      <c r="Z121" s="133">
        <v>1.0000000000000001E-5</v>
      </c>
      <c r="AA121" s="133">
        <f>SUM(V121:W121)</f>
        <v>1.0000100000000001</v>
      </c>
      <c r="AB121" s="133">
        <v>1.0000000000000001E-5</v>
      </c>
      <c r="AC121" s="133">
        <f>SUM(V121:Y121)</f>
        <v>2.0000200000000001</v>
      </c>
      <c r="AD121" s="649"/>
      <c r="AE121" s="652"/>
      <c r="AF121" s="652"/>
      <c r="AG121" s="652"/>
      <c r="AH121" s="553"/>
      <c r="AI121" s="553"/>
      <c r="AJ121" s="968"/>
      <c r="AK121" s="968"/>
      <c r="AL121" s="968"/>
      <c r="AM121" s="968"/>
      <c r="AN121" s="553"/>
      <c r="AO121" s="553"/>
      <c r="AP121" s="968"/>
      <c r="AQ121" s="553"/>
      <c r="AR121" s="553"/>
      <c r="AS121" s="968"/>
      <c r="AT121" s="190" t="s">
        <v>131</v>
      </c>
      <c r="AU121" s="123">
        <f>+AU120*$H$120</f>
        <v>0</v>
      </c>
      <c r="AV121" s="123">
        <f t="shared" ref="AV121:BB121" si="61">+AV120*$H$120</f>
        <v>0</v>
      </c>
      <c r="AW121" s="123">
        <f t="shared" si="61"/>
        <v>0</v>
      </c>
      <c r="AX121" s="123">
        <f t="shared" si="61"/>
        <v>0</v>
      </c>
      <c r="AY121" s="123">
        <f t="shared" si="61"/>
        <v>0</v>
      </c>
      <c r="AZ121" s="123">
        <f t="shared" si="61"/>
        <v>0</v>
      </c>
      <c r="BA121" s="123">
        <f t="shared" si="61"/>
        <v>0</v>
      </c>
      <c r="BB121" s="123">
        <f t="shared" si="61"/>
        <v>0</v>
      </c>
      <c r="BC121" s="567"/>
      <c r="BD121" s="582"/>
      <c r="BE121" s="191"/>
      <c r="BF121" s="192"/>
      <c r="BG121" s="193"/>
      <c r="BH121" s="193"/>
    </row>
    <row r="122" spans="1:60" s="120" customFormat="1" ht="24.95" customHeight="1" thickBot="1" x14ac:dyDescent="0.3">
      <c r="A122" s="675"/>
      <c r="B122" s="664"/>
      <c r="C122" s="673"/>
      <c r="D122" s="1116"/>
      <c r="E122" s="1098"/>
      <c r="F122" s="1099"/>
      <c r="G122" s="883"/>
      <c r="H122" s="536"/>
      <c r="I122" s="554"/>
      <c r="J122" s="536"/>
      <c r="K122" s="554"/>
      <c r="L122" s="533"/>
      <c r="M122" s="678"/>
      <c r="N122" s="533"/>
      <c r="O122" s="554"/>
      <c r="P122" s="1097"/>
      <c r="Q122" s="979"/>
      <c r="R122" s="980"/>
      <c r="S122" s="980"/>
      <c r="T122" s="1088"/>
      <c r="U122" s="122" t="s">
        <v>96</v>
      </c>
      <c r="V122" s="131">
        <f>IF((V120/V121)&lt;$I$8,(V120/V121),IF((V120/V121)&lt;$J$8,(V120/V121),IF((V120/V121)&lt;$J$9,(V120/V121),IF((V120/V121)&gt;=$J$9,$J$9))))</f>
        <v>0</v>
      </c>
      <c r="W122" s="196">
        <f t="shared" ref="W122:AC122" si="62">IF((W120/W121)&lt;$I$8,(W120/W121),IF((W120/W121)&lt;$J$8,(W120/W121),IF((W120/W121)&lt;$J$9,(W120/W121),IF((W120/W121)&gt;=$J$9,$J$9))))</f>
        <v>0</v>
      </c>
      <c r="X122" s="131">
        <f>IF((X120/X121)&lt;$I$8,(X120/X121),IF((X120/X121)&lt;$J$8,(X120/X121),IF((X120/X121)&lt;$J$9,(X120/X121),IF((X120/X121)&gt;=$J$9,$J$9))))</f>
        <v>0</v>
      </c>
      <c r="Y122" s="196">
        <f t="shared" si="62"/>
        <v>0</v>
      </c>
      <c r="Z122" s="131">
        <f t="shared" si="62"/>
        <v>0</v>
      </c>
      <c r="AA122" s="196">
        <f t="shared" si="62"/>
        <v>0</v>
      </c>
      <c r="AB122" s="131">
        <f t="shared" si="62"/>
        <v>0</v>
      </c>
      <c r="AC122" s="196">
        <f t="shared" si="62"/>
        <v>0</v>
      </c>
      <c r="AD122" s="650"/>
      <c r="AE122" s="653"/>
      <c r="AF122" s="653"/>
      <c r="AG122" s="653"/>
      <c r="AH122" s="554"/>
      <c r="AI122" s="554"/>
      <c r="AJ122" s="969"/>
      <c r="AK122" s="969"/>
      <c r="AL122" s="969"/>
      <c r="AM122" s="969"/>
      <c r="AN122" s="554"/>
      <c r="AO122" s="554"/>
      <c r="AP122" s="969"/>
      <c r="AQ122" s="554"/>
      <c r="AR122" s="554"/>
      <c r="AS122" s="969"/>
      <c r="AT122" s="190" t="s">
        <v>132</v>
      </c>
      <c r="AU122" s="123">
        <f>+AU121*$F$120</f>
        <v>0</v>
      </c>
      <c r="AV122" s="123">
        <f t="shared" ref="AV122:BB122" si="63">+AV121*$F$120</f>
        <v>0</v>
      </c>
      <c r="AW122" s="123">
        <f t="shared" si="63"/>
        <v>0</v>
      </c>
      <c r="AX122" s="123">
        <f t="shared" si="63"/>
        <v>0</v>
      </c>
      <c r="AY122" s="123">
        <f t="shared" si="63"/>
        <v>0</v>
      </c>
      <c r="AZ122" s="123">
        <f t="shared" si="63"/>
        <v>0</v>
      </c>
      <c r="BA122" s="123">
        <f t="shared" si="63"/>
        <v>0</v>
      </c>
      <c r="BB122" s="127">
        <f t="shared" si="63"/>
        <v>0</v>
      </c>
      <c r="BC122" s="568"/>
      <c r="BD122" s="582"/>
      <c r="BE122" s="191"/>
      <c r="BF122" s="192"/>
      <c r="BG122" s="193"/>
      <c r="BH122" s="193"/>
    </row>
    <row r="123" spans="1:60" s="120" customFormat="1" ht="35.1" customHeight="1" x14ac:dyDescent="0.25">
      <c r="A123" s="836" t="s">
        <v>230</v>
      </c>
      <c r="B123" s="800"/>
      <c r="C123" s="665">
        <v>8</v>
      </c>
      <c r="D123" s="1116"/>
      <c r="E123" s="970" t="s">
        <v>249</v>
      </c>
      <c r="F123" s="534">
        <v>0.05</v>
      </c>
      <c r="G123" s="881" t="s">
        <v>250</v>
      </c>
      <c r="H123" s="546">
        <v>1</v>
      </c>
      <c r="I123" s="549" t="s">
        <v>251</v>
      </c>
      <c r="J123" s="534">
        <v>1</v>
      </c>
      <c r="K123" s="552" t="s">
        <v>252</v>
      </c>
      <c r="L123" s="531" t="s">
        <v>253</v>
      </c>
      <c r="M123" s="552" t="str">
        <f t="shared" ref="M123" si="64">CONCATENATE(U123,$T$32,U124)</f>
        <v>Ejecución presupuestal (SIIF)Programación presupuestal (PAA)</v>
      </c>
      <c r="N123" s="531" t="s">
        <v>254</v>
      </c>
      <c r="O123" s="531" t="s">
        <v>199</v>
      </c>
      <c r="P123" s="534">
        <v>0.03</v>
      </c>
      <c r="Q123" s="537">
        <v>0.99</v>
      </c>
      <c r="R123" s="540" t="s">
        <v>200</v>
      </c>
      <c r="S123" s="543">
        <v>0.99</v>
      </c>
      <c r="T123" s="764" t="s">
        <v>151</v>
      </c>
      <c r="U123" s="188" t="s">
        <v>255</v>
      </c>
      <c r="V123" s="199"/>
      <c r="W123" s="199"/>
      <c r="X123" s="188"/>
      <c r="Y123" s="188"/>
      <c r="Z123" s="200"/>
      <c r="AA123" s="200"/>
      <c r="AB123" s="200"/>
      <c r="AC123" s="200"/>
      <c r="AD123" s="648">
        <f>+AE123+AF123+AG123</f>
        <v>0</v>
      </c>
      <c r="AE123" s="651">
        <v>0</v>
      </c>
      <c r="AF123" s="651">
        <v>0</v>
      </c>
      <c r="AG123" s="651">
        <v>0</v>
      </c>
      <c r="AH123" s="531" t="s">
        <v>256</v>
      </c>
      <c r="AI123" s="531" t="s">
        <v>257</v>
      </c>
      <c r="AJ123" s="967" t="s">
        <v>94</v>
      </c>
      <c r="AK123" s="967"/>
      <c r="AL123" s="967"/>
      <c r="AM123" s="967"/>
      <c r="AN123" s="967" t="s">
        <v>94</v>
      </c>
      <c r="AO123" s="552"/>
      <c r="AP123" s="967"/>
      <c r="AQ123" s="967"/>
      <c r="AR123" s="967" t="s">
        <v>94</v>
      </c>
      <c r="AS123" s="967"/>
      <c r="AT123" s="190" t="s">
        <v>129</v>
      </c>
      <c r="AU123" s="131">
        <f t="shared" ref="AU123:BB123" si="65">+V125*$J$123</f>
        <v>0</v>
      </c>
      <c r="AV123" s="116">
        <f t="shared" si="65"/>
        <v>0</v>
      </c>
      <c r="AW123" s="131">
        <f t="shared" si="65"/>
        <v>0</v>
      </c>
      <c r="AX123" s="116">
        <f t="shared" si="65"/>
        <v>0</v>
      </c>
      <c r="AY123" s="131">
        <f t="shared" si="65"/>
        <v>0</v>
      </c>
      <c r="AZ123" s="116">
        <f t="shared" si="65"/>
        <v>0</v>
      </c>
      <c r="BA123" s="131">
        <f t="shared" si="65"/>
        <v>0</v>
      </c>
      <c r="BB123" s="167">
        <f t="shared" si="65"/>
        <v>0</v>
      </c>
      <c r="BC123" s="566">
        <f>+BB125</f>
        <v>0</v>
      </c>
      <c r="BD123" s="582"/>
      <c r="BE123" s="191"/>
      <c r="BF123" s="192"/>
      <c r="BG123" s="193"/>
      <c r="BH123" s="193"/>
    </row>
    <row r="124" spans="1:60" s="120" customFormat="1" ht="35.1" customHeight="1" thickBot="1" x14ac:dyDescent="0.3">
      <c r="A124" s="836"/>
      <c r="B124" s="800"/>
      <c r="C124" s="665"/>
      <c r="D124" s="1116"/>
      <c r="E124" s="971"/>
      <c r="F124" s="535"/>
      <c r="G124" s="882"/>
      <c r="H124" s="547"/>
      <c r="I124" s="550"/>
      <c r="J124" s="535"/>
      <c r="K124" s="553"/>
      <c r="L124" s="532"/>
      <c r="M124" s="553"/>
      <c r="N124" s="532"/>
      <c r="O124" s="532"/>
      <c r="P124" s="535"/>
      <c r="Q124" s="538"/>
      <c r="R124" s="541"/>
      <c r="S124" s="544"/>
      <c r="T124" s="765"/>
      <c r="U124" s="121" t="s">
        <v>258</v>
      </c>
      <c r="V124" s="201">
        <v>532440970</v>
      </c>
      <c r="W124" s="201">
        <v>451321472</v>
      </c>
      <c r="X124" s="201">
        <v>729760566</v>
      </c>
      <c r="Y124" s="201">
        <v>924976992</v>
      </c>
      <c r="Z124" s="202">
        <f>SUM(V124)</f>
        <v>532440970</v>
      </c>
      <c r="AA124" s="202">
        <f>SUM(V124:W124)</f>
        <v>983762442</v>
      </c>
      <c r="AB124" s="202">
        <f>SUM(V124:X124)</f>
        <v>1713523008</v>
      </c>
      <c r="AC124" s="202">
        <f>SUM(V124:Y124)</f>
        <v>2638500000</v>
      </c>
      <c r="AD124" s="649"/>
      <c r="AE124" s="652"/>
      <c r="AF124" s="652"/>
      <c r="AG124" s="652"/>
      <c r="AH124" s="532"/>
      <c r="AI124" s="532"/>
      <c r="AJ124" s="968"/>
      <c r="AK124" s="968"/>
      <c r="AL124" s="968"/>
      <c r="AM124" s="968"/>
      <c r="AN124" s="968"/>
      <c r="AO124" s="553"/>
      <c r="AP124" s="968"/>
      <c r="AQ124" s="968"/>
      <c r="AR124" s="968"/>
      <c r="AS124" s="968"/>
      <c r="AT124" s="190" t="s">
        <v>131</v>
      </c>
      <c r="AU124" s="123">
        <f>+AU123*$H$123</f>
        <v>0</v>
      </c>
      <c r="AV124" s="123">
        <f t="shared" ref="AV124:BB124" si="66">+AV123*$H$123</f>
        <v>0</v>
      </c>
      <c r="AW124" s="123">
        <f t="shared" si="66"/>
        <v>0</v>
      </c>
      <c r="AX124" s="123">
        <f t="shared" si="66"/>
        <v>0</v>
      </c>
      <c r="AY124" s="123">
        <f t="shared" si="66"/>
        <v>0</v>
      </c>
      <c r="AZ124" s="123">
        <f t="shared" si="66"/>
        <v>0</v>
      </c>
      <c r="BA124" s="123">
        <f t="shared" si="66"/>
        <v>0</v>
      </c>
      <c r="BB124" s="123">
        <f t="shared" si="66"/>
        <v>0</v>
      </c>
      <c r="BC124" s="567"/>
      <c r="BD124" s="582"/>
      <c r="BE124" s="191"/>
      <c r="BF124" s="192"/>
      <c r="BG124" s="193"/>
      <c r="BH124" s="193"/>
    </row>
    <row r="125" spans="1:60" s="120" customFormat="1" ht="24.95" customHeight="1" thickBot="1" x14ac:dyDescent="0.3">
      <c r="A125" s="836"/>
      <c r="B125" s="800"/>
      <c r="C125" s="665"/>
      <c r="D125" s="1116"/>
      <c r="E125" s="972"/>
      <c r="F125" s="536"/>
      <c r="G125" s="883"/>
      <c r="H125" s="548"/>
      <c r="I125" s="551"/>
      <c r="J125" s="536"/>
      <c r="K125" s="554"/>
      <c r="L125" s="533"/>
      <c r="M125" s="554"/>
      <c r="N125" s="533"/>
      <c r="O125" s="533"/>
      <c r="P125" s="536"/>
      <c r="Q125" s="539"/>
      <c r="R125" s="542"/>
      <c r="S125" s="545"/>
      <c r="T125" s="766"/>
      <c r="U125" s="125" t="s">
        <v>96</v>
      </c>
      <c r="V125" s="196">
        <f t="shared" ref="V125:AC125" si="67">IF((V123/V124)&lt;$I$8,(V123/V124),IF((V123/V124)&lt;$J$8,(V123/V124),IF((V123/V124)&lt;$J$9,(V123/V124),IF((V123/V124)&gt;=$J$9,$J$9))))</f>
        <v>0</v>
      </c>
      <c r="W125" s="196">
        <f t="shared" si="67"/>
        <v>0</v>
      </c>
      <c r="X125" s="196">
        <f t="shared" si="67"/>
        <v>0</v>
      </c>
      <c r="Y125" s="196">
        <f t="shared" si="67"/>
        <v>0</v>
      </c>
      <c r="Z125" s="196">
        <f t="shared" si="67"/>
        <v>0</v>
      </c>
      <c r="AA125" s="196">
        <f t="shared" si="67"/>
        <v>0</v>
      </c>
      <c r="AB125" s="196">
        <f t="shared" si="67"/>
        <v>0</v>
      </c>
      <c r="AC125" s="196">
        <f t="shared" si="67"/>
        <v>0</v>
      </c>
      <c r="AD125" s="650"/>
      <c r="AE125" s="653"/>
      <c r="AF125" s="653"/>
      <c r="AG125" s="653"/>
      <c r="AH125" s="533"/>
      <c r="AI125" s="533"/>
      <c r="AJ125" s="969"/>
      <c r="AK125" s="969"/>
      <c r="AL125" s="969"/>
      <c r="AM125" s="969"/>
      <c r="AN125" s="969"/>
      <c r="AO125" s="554"/>
      <c r="AP125" s="969"/>
      <c r="AQ125" s="969"/>
      <c r="AR125" s="969"/>
      <c r="AS125" s="969"/>
      <c r="AT125" s="190" t="s">
        <v>132</v>
      </c>
      <c r="AU125" s="123">
        <f>+AU124*$F$123</f>
        <v>0</v>
      </c>
      <c r="AV125" s="123">
        <f t="shared" ref="AV125:BB125" si="68">+AV124*$F$123</f>
        <v>0</v>
      </c>
      <c r="AW125" s="123">
        <f t="shared" si="68"/>
        <v>0</v>
      </c>
      <c r="AX125" s="123">
        <f t="shared" si="68"/>
        <v>0</v>
      </c>
      <c r="AY125" s="124">
        <f t="shared" si="68"/>
        <v>0</v>
      </c>
      <c r="AZ125" s="123">
        <f t="shared" si="68"/>
        <v>0</v>
      </c>
      <c r="BA125" s="123">
        <f t="shared" si="68"/>
        <v>0</v>
      </c>
      <c r="BB125" s="127">
        <f t="shared" si="68"/>
        <v>0</v>
      </c>
      <c r="BC125" s="568"/>
      <c r="BD125" s="583"/>
      <c r="BE125" s="191"/>
      <c r="BF125" s="192"/>
      <c r="BG125" s="193"/>
      <c r="BH125" s="193"/>
    </row>
    <row r="126" spans="1:60" s="120" customFormat="1" ht="24.95" hidden="1" customHeight="1" thickBot="1" x14ac:dyDescent="0.3">
      <c r="A126" s="139"/>
      <c r="B126" s="177"/>
      <c r="C126" s="178">
        <f>+C87+C123</f>
        <v>16</v>
      </c>
      <c r="D126" s="143"/>
      <c r="E126" s="143"/>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80"/>
      <c r="AE126" s="180"/>
      <c r="AF126" s="180"/>
      <c r="AG126" s="180"/>
      <c r="AH126" s="180"/>
      <c r="AI126" s="180"/>
      <c r="AJ126" s="145">
        <f>COUNTA(AJ102:AJ125)</f>
        <v>8</v>
      </c>
      <c r="AK126" s="145">
        <f t="shared" ref="AK126:AS126" si="69">COUNTA(AK102:AK125)</f>
        <v>0</v>
      </c>
      <c r="AL126" s="145">
        <f t="shared" si="69"/>
        <v>0</v>
      </c>
      <c r="AM126" s="145">
        <f t="shared" si="69"/>
        <v>4</v>
      </c>
      <c r="AN126" s="145">
        <f t="shared" si="69"/>
        <v>4</v>
      </c>
      <c r="AO126" s="145">
        <f t="shared" si="69"/>
        <v>4</v>
      </c>
      <c r="AP126" s="145">
        <f t="shared" si="69"/>
        <v>0</v>
      </c>
      <c r="AQ126" s="145">
        <f t="shared" si="69"/>
        <v>7</v>
      </c>
      <c r="AR126" s="145">
        <f t="shared" si="69"/>
        <v>1</v>
      </c>
      <c r="AS126" s="145">
        <f t="shared" si="69"/>
        <v>0</v>
      </c>
      <c r="AT126" s="180"/>
      <c r="AU126" s="203">
        <f>+AU104+AU122+AU125</f>
        <v>0</v>
      </c>
      <c r="AV126" s="203">
        <f t="shared" ref="AV126:BB126" si="70">+AV104+AV122+AV125</f>
        <v>0</v>
      </c>
      <c r="AW126" s="203">
        <f t="shared" si="70"/>
        <v>0</v>
      </c>
      <c r="AX126" s="204">
        <f t="shared" si="70"/>
        <v>0</v>
      </c>
      <c r="AY126" s="205">
        <f t="shared" si="70"/>
        <v>0</v>
      </c>
      <c r="AZ126" s="206">
        <f t="shared" si="70"/>
        <v>0</v>
      </c>
      <c r="BA126" s="203">
        <f t="shared" si="70"/>
        <v>0</v>
      </c>
      <c r="BB126" s="203">
        <f t="shared" si="70"/>
        <v>0</v>
      </c>
      <c r="BC126" s="184"/>
      <c r="BD126" s="184"/>
      <c r="BE126" s="184"/>
      <c r="BF126" s="184"/>
    </row>
    <row r="127" spans="1:60" s="159" customFormat="1" ht="20.100000000000001" hidden="1" customHeight="1" x14ac:dyDescent="0.25">
      <c r="A127" s="44"/>
      <c r="B127" s="151"/>
      <c r="C127" s="185"/>
      <c r="D127" s="153"/>
      <c r="E127" s="153"/>
      <c r="F127" s="154"/>
      <c r="G127" s="154"/>
      <c r="H127" s="154"/>
      <c r="I127" s="155"/>
      <c r="J127" s="154"/>
      <c r="K127" s="155"/>
      <c r="L127" s="155"/>
      <c r="M127" s="155"/>
      <c r="N127" s="155"/>
      <c r="O127" s="155"/>
      <c r="P127" s="155"/>
      <c r="Q127" s="646" t="s">
        <v>154</v>
      </c>
      <c r="R127" s="646"/>
      <c r="S127" s="646"/>
      <c r="T127" s="646"/>
      <c r="U127" s="646"/>
      <c r="V127" s="156">
        <v>3</v>
      </c>
      <c r="W127" s="156">
        <v>7</v>
      </c>
      <c r="X127" s="156">
        <v>3</v>
      </c>
      <c r="Y127" s="156">
        <v>8</v>
      </c>
      <c r="Z127" s="157"/>
      <c r="AA127" s="157"/>
      <c r="AB127" s="157"/>
      <c r="AC127" s="157"/>
      <c r="AD127" s="158"/>
      <c r="AE127" s="157"/>
      <c r="AF127" s="157"/>
      <c r="AG127" s="157"/>
      <c r="AH127" s="157"/>
      <c r="AI127" s="157"/>
      <c r="AJ127" s="157"/>
      <c r="AK127" s="157"/>
      <c r="AL127" s="157"/>
      <c r="AM127" s="157"/>
      <c r="AN127" s="157"/>
      <c r="AO127" s="157"/>
      <c r="AP127" s="157"/>
      <c r="AQ127" s="157"/>
      <c r="AR127" s="157"/>
      <c r="AS127" s="157"/>
      <c r="AT127" s="157"/>
      <c r="AU127" s="48"/>
      <c r="AV127" s="48"/>
      <c r="AW127" s="48"/>
      <c r="AX127" s="48"/>
      <c r="AY127" s="48"/>
      <c r="AZ127" s="48"/>
      <c r="BA127" s="48"/>
      <c r="BB127" s="48"/>
      <c r="BC127" s="48"/>
      <c r="BD127" s="48"/>
      <c r="BE127" s="48"/>
      <c r="BF127" s="49"/>
    </row>
    <row r="128" spans="1:60" s="159" customFormat="1" ht="20.100000000000001" hidden="1" customHeight="1" x14ac:dyDescent="0.25">
      <c r="A128" s="44"/>
      <c r="B128" s="151"/>
      <c r="C128" s="185"/>
      <c r="D128" s="153"/>
      <c r="E128" s="153"/>
      <c r="F128" s="154"/>
      <c r="G128" s="154"/>
      <c r="H128" s="154"/>
      <c r="I128" s="155"/>
      <c r="J128" s="154"/>
      <c r="K128" s="155"/>
      <c r="L128" s="155"/>
      <c r="M128" s="155"/>
      <c r="N128" s="155"/>
      <c r="O128" s="155"/>
      <c r="P128" s="155"/>
      <c r="Q128" s="646" t="s">
        <v>155</v>
      </c>
      <c r="R128" s="646"/>
      <c r="S128" s="646"/>
      <c r="T128" s="646"/>
      <c r="U128" s="646"/>
      <c r="V128" s="161">
        <v>3</v>
      </c>
      <c r="W128" s="161">
        <f>1+1+4+1</f>
        <v>7</v>
      </c>
      <c r="X128" s="161"/>
      <c r="Y128" s="161"/>
      <c r="Z128" s="157"/>
      <c r="AA128" s="157"/>
      <c r="AB128" s="157"/>
      <c r="AC128" s="157"/>
      <c r="AD128" s="158"/>
      <c r="AE128" s="157"/>
      <c r="AF128" s="157"/>
      <c r="AG128" s="157"/>
      <c r="AH128" s="157"/>
      <c r="AI128" s="157"/>
      <c r="AJ128" s="157"/>
      <c r="AK128" s="157"/>
      <c r="AL128" s="157"/>
      <c r="AM128" s="157"/>
      <c r="AN128" s="157"/>
      <c r="AO128" s="157"/>
      <c r="AP128" s="157"/>
      <c r="AQ128" s="157"/>
      <c r="AR128" s="157"/>
      <c r="AS128" s="157"/>
      <c r="AT128" s="157"/>
      <c r="AU128" s="48"/>
      <c r="AV128" s="48"/>
      <c r="AW128" s="48"/>
      <c r="AX128" s="48"/>
      <c r="AY128" s="48"/>
      <c r="AZ128" s="48"/>
      <c r="BA128" s="48"/>
      <c r="BB128" s="48"/>
      <c r="BC128" s="48"/>
      <c r="BD128" s="48"/>
      <c r="BE128" s="48"/>
      <c r="BF128" s="49"/>
    </row>
    <row r="129" spans="1:60" ht="20.100000000000001" hidden="1" customHeight="1" x14ac:dyDescent="0.25">
      <c r="A129" s="44"/>
      <c r="B129" s="151"/>
      <c r="C129" s="152"/>
      <c r="D129" s="153"/>
      <c r="E129" s="153"/>
      <c r="F129" s="154"/>
      <c r="G129" s="186"/>
      <c r="H129" s="157"/>
      <c r="I129" s="155"/>
      <c r="J129" s="154"/>
      <c r="K129" s="155"/>
      <c r="L129" s="155"/>
      <c r="M129" s="155"/>
      <c r="N129" s="155"/>
      <c r="O129" s="155"/>
      <c r="P129" s="155"/>
      <c r="Q129" s="646" t="s">
        <v>156</v>
      </c>
      <c r="R129" s="646"/>
      <c r="S129" s="646"/>
      <c r="T129" s="646"/>
      <c r="U129" s="646"/>
      <c r="V129" s="161">
        <v>0</v>
      </c>
      <c r="W129" s="161">
        <f>1+1</f>
        <v>2</v>
      </c>
      <c r="X129" s="161"/>
      <c r="Y129" s="161"/>
      <c r="Z129" s="157"/>
      <c r="AA129" s="157"/>
      <c r="AB129" s="157"/>
      <c r="AC129" s="157"/>
      <c r="AD129" s="158"/>
      <c r="AE129" s="157"/>
      <c r="AF129" s="157"/>
      <c r="AG129" s="157"/>
      <c r="AH129" s="157"/>
      <c r="AI129" s="157"/>
      <c r="AJ129" s="157"/>
      <c r="AK129" s="157"/>
      <c r="AL129" s="157"/>
      <c r="AM129" s="157"/>
      <c r="AN129" s="157"/>
      <c r="AO129" s="157"/>
      <c r="AP129" s="157"/>
      <c r="AQ129" s="157"/>
      <c r="AR129" s="157"/>
      <c r="AS129" s="157"/>
      <c r="AT129" s="48"/>
      <c r="AU129" s="48"/>
      <c r="AV129" s="48"/>
      <c r="AW129" s="48"/>
      <c r="AX129" s="48"/>
      <c r="AY129" s="48"/>
      <c r="AZ129" s="48"/>
      <c r="BA129" s="48"/>
      <c r="BB129" s="48"/>
      <c r="BC129" s="48"/>
      <c r="BD129" s="48"/>
      <c r="BE129" s="48"/>
      <c r="BF129" s="49"/>
    </row>
    <row r="130" spans="1:60" ht="20.100000000000001" hidden="1" customHeight="1" x14ac:dyDescent="0.25">
      <c r="A130" s="44"/>
      <c r="B130" s="151"/>
      <c r="C130" s="152"/>
      <c r="D130" s="153"/>
      <c r="E130" s="153"/>
      <c r="F130" s="154"/>
      <c r="G130" s="186"/>
      <c r="H130" s="157"/>
      <c r="I130" s="155"/>
      <c r="J130" s="154"/>
      <c r="K130" s="155"/>
      <c r="L130" s="155"/>
      <c r="M130" s="155"/>
      <c r="N130" s="155"/>
      <c r="O130" s="155"/>
      <c r="P130" s="155"/>
      <c r="Q130" s="646" t="s">
        <v>157</v>
      </c>
      <c r="R130" s="646"/>
      <c r="S130" s="646"/>
      <c r="T130" s="646"/>
      <c r="U130" s="647"/>
      <c r="V130" s="161">
        <f>+V127-V128</f>
        <v>0</v>
      </c>
      <c r="W130" s="161">
        <f>+W127-W128</f>
        <v>0</v>
      </c>
      <c r="X130" s="161">
        <f>+X127-X128</f>
        <v>3</v>
      </c>
      <c r="Y130" s="161">
        <f>+Y127-Y128</f>
        <v>8</v>
      </c>
      <c r="Z130" s="157"/>
      <c r="AA130" s="157"/>
      <c r="AB130" s="157"/>
      <c r="AC130" s="157"/>
      <c r="AD130" s="158"/>
      <c r="AE130" s="157"/>
      <c r="AF130" s="157"/>
      <c r="AG130" s="157"/>
      <c r="AH130" s="157"/>
      <c r="AI130" s="157"/>
      <c r="AJ130" s="157"/>
      <c r="AK130" s="157"/>
      <c r="AL130" s="157"/>
      <c r="AM130" s="157"/>
      <c r="AN130" s="157"/>
      <c r="AO130" s="157"/>
      <c r="AP130" s="157"/>
      <c r="AQ130" s="157"/>
      <c r="AR130" s="157"/>
      <c r="AS130" s="157"/>
      <c r="AT130" s="94"/>
      <c r="AU130" s="48"/>
      <c r="AV130" s="48"/>
      <c r="AW130" s="48"/>
      <c r="AX130" s="48"/>
      <c r="AY130" s="48"/>
      <c r="AZ130" s="48"/>
      <c r="BA130" s="48"/>
      <c r="BB130" s="48"/>
      <c r="BC130" s="48"/>
      <c r="BD130" s="48"/>
      <c r="BE130" s="48"/>
      <c r="BF130" s="49"/>
    </row>
    <row r="131" spans="1:60" ht="20.100000000000001" hidden="1" customHeight="1" x14ac:dyDescent="0.25">
      <c r="A131" s="44"/>
      <c r="B131" s="151"/>
      <c r="C131" s="152"/>
      <c r="D131" s="153"/>
      <c r="E131" s="153"/>
      <c r="F131" s="154"/>
      <c r="G131" s="154"/>
      <c r="H131" s="157"/>
      <c r="I131" s="155"/>
      <c r="J131" s="154"/>
      <c r="K131" s="155"/>
      <c r="L131" s="155"/>
      <c r="M131" s="155"/>
      <c r="N131" s="155"/>
      <c r="O131" s="155"/>
      <c r="P131" s="155"/>
      <c r="Q131" s="646" t="s">
        <v>158</v>
      </c>
      <c r="R131" s="646"/>
      <c r="S131" s="646"/>
      <c r="T131" s="646"/>
      <c r="U131" s="646"/>
      <c r="V131" s="156">
        <f>+V127</f>
        <v>3</v>
      </c>
      <c r="W131" s="156">
        <f>+W127</f>
        <v>7</v>
      </c>
      <c r="X131" s="156">
        <f>+X127</f>
        <v>3</v>
      </c>
      <c r="Y131" s="156">
        <f>+Y127</f>
        <v>8</v>
      </c>
      <c r="Z131" s="157"/>
      <c r="AA131" s="157"/>
      <c r="AB131" s="157"/>
      <c r="AC131" s="157"/>
      <c r="AD131" s="158"/>
      <c r="AE131" s="157"/>
      <c r="AF131" s="157"/>
      <c r="AG131" s="157"/>
      <c r="AH131" s="157"/>
      <c r="AI131" s="157"/>
      <c r="AJ131" s="157"/>
      <c r="AK131" s="157"/>
      <c r="AL131" s="157"/>
      <c r="AM131" s="157"/>
      <c r="AN131" s="157"/>
      <c r="AO131" s="157"/>
      <c r="AP131" s="157"/>
      <c r="AQ131" s="157"/>
      <c r="AR131" s="157"/>
      <c r="AS131" s="157"/>
      <c r="AT131" s="48"/>
      <c r="AU131" s="48"/>
      <c r="AV131" s="48"/>
      <c r="AW131" s="48"/>
      <c r="AX131" s="48"/>
      <c r="AY131" s="48"/>
      <c r="AZ131" s="48"/>
      <c r="BA131" s="48"/>
      <c r="BB131" s="48"/>
      <c r="BC131" s="48"/>
      <c r="BD131" s="48"/>
      <c r="BE131" s="48"/>
      <c r="BF131" s="49"/>
    </row>
    <row r="132" spans="1:60" ht="20.100000000000001" hidden="1" customHeight="1" x14ac:dyDescent="0.25">
      <c r="A132" s="44"/>
      <c r="B132" s="151"/>
      <c r="C132" s="152"/>
      <c r="D132" s="153"/>
      <c r="E132" s="153"/>
      <c r="F132" s="154"/>
      <c r="G132" s="154"/>
      <c r="H132" s="187"/>
      <c r="I132" s="155"/>
      <c r="J132" s="154"/>
      <c r="K132" s="155"/>
      <c r="L132" s="155"/>
      <c r="M132" s="155"/>
      <c r="N132" s="155"/>
      <c r="O132" s="155"/>
      <c r="P132" s="155"/>
      <c r="Q132" s="646" t="s">
        <v>159</v>
      </c>
      <c r="R132" s="646"/>
      <c r="S132" s="646"/>
      <c r="T132" s="646"/>
      <c r="U132" s="646"/>
      <c r="V132" s="161">
        <v>3</v>
      </c>
      <c r="W132" s="161">
        <f>2+5</f>
        <v>7</v>
      </c>
      <c r="X132" s="161"/>
      <c r="Y132" s="161"/>
      <c r="Z132" s="157"/>
      <c r="AA132" s="157"/>
      <c r="AB132" s="157"/>
      <c r="AC132" s="157"/>
      <c r="AD132" s="158"/>
      <c r="AE132" s="157"/>
      <c r="AF132" s="157"/>
      <c r="AG132" s="157"/>
      <c r="AH132" s="157"/>
      <c r="AI132" s="157"/>
      <c r="AJ132" s="157"/>
      <c r="AK132" s="157"/>
      <c r="AL132" s="157"/>
      <c r="AM132" s="157"/>
      <c r="AN132" s="157"/>
      <c r="AO132" s="157"/>
      <c r="AP132" s="157"/>
      <c r="AQ132" s="157"/>
      <c r="AR132" s="157"/>
      <c r="AS132" s="157"/>
      <c r="AT132" s="94"/>
      <c r="AU132" s="48"/>
      <c r="AV132" s="48"/>
      <c r="AW132" s="48"/>
      <c r="AX132" s="48"/>
      <c r="AY132" s="48"/>
      <c r="AZ132" s="48"/>
      <c r="BA132" s="48"/>
      <c r="BB132" s="48"/>
      <c r="BC132" s="48"/>
      <c r="BD132" s="48"/>
      <c r="BE132" s="48"/>
      <c r="BF132" s="49"/>
    </row>
    <row r="133" spans="1:60" ht="15" hidden="1" customHeight="1" x14ac:dyDescent="0.25">
      <c r="A133" s="79"/>
      <c r="B133" s="80"/>
      <c r="C133" s="88"/>
      <c r="D133" s="82"/>
      <c r="E133" s="82"/>
      <c r="F133" s="46"/>
      <c r="G133" s="46"/>
      <c r="H133" s="46"/>
      <c r="I133" s="46"/>
      <c r="J133" s="83"/>
      <c r="K133" s="46"/>
      <c r="L133" s="46"/>
      <c r="M133" s="46"/>
      <c r="N133" s="46"/>
      <c r="O133" s="46"/>
      <c r="P133" s="46"/>
      <c r="Q133" s="46"/>
      <c r="R133" s="46"/>
      <c r="S133" s="46"/>
      <c r="T133" s="46"/>
      <c r="U133" s="46"/>
      <c r="V133" s="73"/>
      <c r="W133" s="73"/>
      <c r="X133" s="73"/>
      <c r="Y133" s="73"/>
      <c r="Z133" s="46"/>
      <c r="AA133" s="46"/>
      <c r="AB133" s="46"/>
      <c r="AC133" s="46"/>
      <c r="AD133" s="47"/>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9"/>
    </row>
    <row r="134" spans="1:60" ht="20.100000000000001" hidden="1" customHeight="1" x14ac:dyDescent="0.25">
      <c r="A134" s="79"/>
      <c r="B134" s="80"/>
      <c r="C134" s="85"/>
      <c r="D134" s="109" t="s">
        <v>103</v>
      </c>
      <c r="E134" s="82"/>
      <c r="F134" s="46"/>
      <c r="G134" s="46"/>
      <c r="H134" s="46"/>
      <c r="I134" s="46"/>
      <c r="J134" s="83"/>
      <c r="K134" s="46"/>
      <c r="L134" s="46"/>
      <c r="M134" s="46"/>
      <c r="N134" s="46"/>
      <c r="O134" s="46"/>
      <c r="P134" s="46"/>
      <c r="Q134" s="46"/>
      <c r="R134" s="46"/>
      <c r="S134" s="46"/>
      <c r="T134" s="46"/>
      <c r="U134" s="46"/>
      <c r="V134" s="42"/>
      <c r="W134" s="46"/>
      <c r="X134" s="46"/>
      <c r="Y134" s="46"/>
      <c r="Z134" s="46"/>
      <c r="AA134" s="46"/>
      <c r="AB134" s="46"/>
      <c r="AC134" s="46"/>
      <c r="AD134" s="47"/>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9"/>
    </row>
    <row r="135" spans="1:60" s="38" customFormat="1" ht="20.100000000000001" customHeight="1" x14ac:dyDescent="0.25">
      <c r="A135" s="207"/>
      <c r="B135" s="208"/>
      <c r="C135" s="209"/>
      <c r="D135" s="1000" t="s">
        <v>20</v>
      </c>
      <c r="E135" s="1000"/>
      <c r="F135" s="1000"/>
      <c r="G135" s="1000"/>
      <c r="H135" s="1000"/>
      <c r="I135" s="1000"/>
      <c r="J135" s="1000"/>
      <c r="K135" s="1000"/>
      <c r="L135" s="1000"/>
      <c r="M135" s="1000"/>
      <c r="N135" s="1000"/>
      <c r="O135" s="1000"/>
      <c r="P135" s="1000"/>
      <c r="Q135" s="1000"/>
      <c r="R135" s="1000"/>
      <c r="S135" s="1000"/>
      <c r="T135" s="1000"/>
      <c r="U135" s="1000"/>
      <c r="V135" s="1000"/>
      <c r="W135" s="1000"/>
      <c r="X135" s="1000"/>
      <c r="Y135" s="1000"/>
      <c r="Z135" s="1000"/>
      <c r="AA135" s="1000"/>
      <c r="AB135" s="1000"/>
      <c r="AC135" s="1000"/>
      <c r="AD135" s="1000"/>
      <c r="AE135" s="1000"/>
      <c r="AF135" s="1000"/>
      <c r="AG135" s="1000"/>
      <c r="AH135" s="1000"/>
      <c r="AI135" s="1000"/>
      <c r="AJ135" s="1000"/>
      <c r="AK135" s="1000"/>
      <c r="AL135" s="1000"/>
      <c r="AM135" s="1000"/>
      <c r="AN135" s="1000"/>
      <c r="AO135" s="1000"/>
      <c r="AP135" s="1000"/>
      <c r="AQ135" s="1000"/>
      <c r="AR135" s="1000"/>
      <c r="AS135" s="1000"/>
      <c r="AT135" s="561" t="s">
        <v>104</v>
      </c>
      <c r="AU135" s="563"/>
      <c r="AV135" s="563"/>
      <c r="AW135" s="563"/>
      <c r="AX135" s="563"/>
      <c r="AY135" s="563"/>
      <c r="AZ135" s="563"/>
      <c r="BA135" s="563"/>
      <c r="BB135" s="562"/>
      <c r="BC135" s="561" t="s">
        <v>105</v>
      </c>
      <c r="BD135" s="562"/>
      <c r="BE135" s="35"/>
      <c r="BF135" s="32"/>
      <c r="BG135" s="210"/>
      <c r="BH135" s="210"/>
    </row>
    <row r="136" spans="1:60" ht="15" customHeight="1" x14ac:dyDescent="0.25">
      <c r="A136" s="79"/>
      <c r="B136" s="80"/>
      <c r="C136" s="85"/>
      <c r="D136" s="691" t="s">
        <v>106</v>
      </c>
      <c r="E136" s="691" t="s">
        <v>107</v>
      </c>
      <c r="F136" s="711" t="s">
        <v>108</v>
      </c>
      <c r="G136" s="691" t="s">
        <v>109</v>
      </c>
      <c r="H136" s="711" t="s">
        <v>110</v>
      </c>
      <c r="I136" s="691" t="s">
        <v>51</v>
      </c>
      <c r="J136" s="712" t="s">
        <v>111</v>
      </c>
      <c r="K136" s="691" t="s">
        <v>52</v>
      </c>
      <c r="L136" s="691"/>
      <c r="M136" s="691"/>
      <c r="N136" s="691" t="s">
        <v>53</v>
      </c>
      <c r="O136" s="691" t="s">
        <v>54</v>
      </c>
      <c r="P136" s="703" t="s">
        <v>55</v>
      </c>
      <c r="Q136" s="703" t="s">
        <v>56</v>
      </c>
      <c r="R136" s="703" t="s">
        <v>57</v>
      </c>
      <c r="S136" s="703" t="s">
        <v>58</v>
      </c>
      <c r="T136" s="703" t="s">
        <v>59</v>
      </c>
      <c r="U136" s="691" t="s">
        <v>60</v>
      </c>
      <c r="V136" s="691"/>
      <c r="W136" s="691"/>
      <c r="X136" s="691"/>
      <c r="Y136" s="691"/>
      <c r="Z136" s="691" t="s">
        <v>61</v>
      </c>
      <c r="AA136" s="691"/>
      <c r="AB136" s="691"/>
      <c r="AC136" s="691"/>
      <c r="AD136" s="707" t="s">
        <v>62</v>
      </c>
      <c r="AE136" s="708"/>
      <c r="AF136" s="709"/>
      <c r="AG136" s="695" t="s">
        <v>63</v>
      </c>
      <c r="AH136" s="695" t="s">
        <v>64</v>
      </c>
      <c r="AI136" s="695" t="s">
        <v>65</v>
      </c>
      <c r="AJ136" s="691" t="s">
        <v>66</v>
      </c>
      <c r="AK136" s="691"/>
      <c r="AL136" s="691"/>
      <c r="AM136" s="691"/>
      <c r="AN136" s="691"/>
      <c r="AO136" s="691"/>
      <c r="AP136" s="691"/>
      <c r="AQ136" s="691"/>
      <c r="AR136" s="691"/>
      <c r="AS136" s="691"/>
      <c r="AT136" s="558" t="s">
        <v>60</v>
      </c>
      <c r="AU136" s="569" t="s">
        <v>112</v>
      </c>
      <c r="AV136" s="570"/>
      <c r="AW136" s="570"/>
      <c r="AX136" s="571"/>
      <c r="AY136" s="569" t="s">
        <v>113</v>
      </c>
      <c r="AZ136" s="570"/>
      <c r="BA136" s="570"/>
      <c r="BB136" s="571"/>
      <c r="BC136" s="584" t="s">
        <v>114</v>
      </c>
      <c r="BD136" s="587" t="s">
        <v>102</v>
      </c>
      <c r="BE136" s="48"/>
      <c r="BF136" s="49"/>
    </row>
    <row r="137" spans="1:60" ht="15" customHeight="1" x14ac:dyDescent="0.25">
      <c r="A137" s="79"/>
      <c r="B137" s="80"/>
      <c r="C137" s="85"/>
      <c r="D137" s="691"/>
      <c r="E137" s="691"/>
      <c r="F137" s="711"/>
      <c r="G137" s="691"/>
      <c r="H137" s="711"/>
      <c r="I137" s="691"/>
      <c r="J137" s="712"/>
      <c r="K137" s="691"/>
      <c r="L137" s="691"/>
      <c r="M137" s="691"/>
      <c r="N137" s="691"/>
      <c r="O137" s="691"/>
      <c r="P137" s="703"/>
      <c r="Q137" s="703"/>
      <c r="R137" s="703"/>
      <c r="S137" s="703"/>
      <c r="T137" s="703"/>
      <c r="U137" s="691" t="s">
        <v>67</v>
      </c>
      <c r="V137" s="691"/>
      <c r="W137" s="691"/>
      <c r="X137" s="691"/>
      <c r="Y137" s="691"/>
      <c r="Z137" s="691" t="s">
        <v>67</v>
      </c>
      <c r="AA137" s="691"/>
      <c r="AB137" s="691"/>
      <c r="AC137" s="691"/>
      <c r="AD137" s="695" t="s">
        <v>68</v>
      </c>
      <c r="AE137" s="695" t="s">
        <v>69</v>
      </c>
      <c r="AF137" s="695" t="s">
        <v>70</v>
      </c>
      <c r="AG137" s="696"/>
      <c r="AH137" s="696"/>
      <c r="AI137" s="696"/>
      <c r="AJ137" s="691"/>
      <c r="AK137" s="691"/>
      <c r="AL137" s="691"/>
      <c r="AM137" s="691"/>
      <c r="AN137" s="691"/>
      <c r="AO137" s="691"/>
      <c r="AP137" s="691"/>
      <c r="AQ137" s="691"/>
      <c r="AR137" s="691"/>
      <c r="AS137" s="691"/>
      <c r="AT137" s="559"/>
      <c r="AU137" s="572"/>
      <c r="AV137" s="573"/>
      <c r="AW137" s="573"/>
      <c r="AX137" s="574"/>
      <c r="AY137" s="572"/>
      <c r="AZ137" s="573"/>
      <c r="BA137" s="573"/>
      <c r="BB137" s="574"/>
      <c r="BC137" s="585"/>
      <c r="BD137" s="588"/>
      <c r="BE137" s="48"/>
      <c r="BF137" s="49"/>
    </row>
    <row r="138" spans="1:60" s="95" customFormat="1" ht="24" customHeight="1" thickBot="1" x14ac:dyDescent="0.3">
      <c r="A138" s="86"/>
      <c r="B138" s="87"/>
      <c r="C138" s="88"/>
      <c r="D138" s="691"/>
      <c r="E138" s="691"/>
      <c r="F138" s="711"/>
      <c r="G138" s="691"/>
      <c r="H138" s="711"/>
      <c r="I138" s="691"/>
      <c r="J138" s="712"/>
      <c r="K138" s="89" t="s">
        <v>71</v>
      </c>
      <c r="L138" s="89" t="s">
        <v>115</v>
      </c>
      <c r="M138" s="89" t="s">
        <v>72</v>
      </c>
      <c r="N138" s="691"/>
      <c r="O138" s="691"/>
      <c r="P138" s="703"/>
      <c r="Q138" s="703"/>
      <c r="R138" s="703"/>
      <c r="S138" s="703"/>
      <c r="T138" s="703"/>
      <c r="U138" s="90" t="s">
        <v>73</v>
      </c>
      <c r="V138" s="89">
        <v>1</v>
      </c>
      <c r="W138" s="91">
        <v>2</v>
      </c>
      <c r="X138" s="91">
        <v>3</v>
      </c>
      <c r="Y138" s="110">
        <v>4</v>
      </c>
      <c r="Z138" s="89">
        <v>1</v>
      </c>
      <c r="AA138" s="91">
        <v>2</v>
      </c>
      <c r="AB138" s="91">
        <v>3</v>
      </c>
      <c r="AC138" s="91">
        <v>4</v>
      </c>
      <c r="AD138" s="696"/>
      <c r="AE138" s="696"/>
      <c r="AF138" s="696"/>
      <c r="AG138" s="696"/>
      <c r="AH138" s="696"/>
      <c r="AI138" s="697"/>
      <c r="AJ138" s="89" t="s">
        <v>74</v>
      </c>
      <c r="AK138" s="91" t="s">
        <v>75</v>
      </c>
      <c r="AL138" s="91" t="s">
        <v>76</v>
      </c>
      <c r="AM138" s="91" t="s">
        <v>77</v>
      </c>
      <c r="AN138" s="92" t="s">
        <v>78</v>
      </c>
      <c r="AO138" s="92" t="s">
        <v>79</v>
      </c>
      <c r="AP138" s="92" t="s">
        <v>80</v>
      </c>
      <c r="AQ138" s="92" t="s">
        <v>81</v>
      </c>
      <c r="AR138" s="93" t="s">
        <v>82</v>
      </c>
      <c r="AS138" s="93" t="s">
        <v>83</v>
      </c>
      <c r="AT138" s="560"/>
      <c r="AU138" s="111" t="s">
        <v>116</v>
      </c>
      <c r="AV138" s="111" t="s">
        <v>117</v>
      </c>
      <c r="AW138" s="111" t="s">
        <v>118</v>
      </c>
      <c r="AX138" s="111" t="s">
        <v>119</v>
      </c>
      <c r="AY138" s="111" t="s">
        <v>116</v>
      </c>
      <c r="AZ138" s="111" t="s">
        <v>117</v>
      </c>
      <c r="BA138" s="111" t="s">
        <v>118</v>
      </c>
      <c r="BB138" s="211" t="s">
        <v>119</v>
      </c>
      <c r="BC138" s="586"/>
      <c r="BD138" s="589"/>
      <c r="BE138" s="48"/>
      <c r="BF138" s="49"/>
    </row>
    <row r="139" spans="1:60" s="120" customFormat="1" ht="35.1" customHeight="1" x14ac:dyDescent="0.25">
      <c r="A139" s="139"/>
      <c r="B139" s="664"/>
      <c r="C139" s="673">
        <v>1</v>
      </c>
      <c r="D139" s="816" t="s">
        <v>20</v>
      </c>
      <c r="E139" s="688" t="s">
        <v>239</v>
      </c>
      <c r="F139" s="973">
        <f>+AD139/AD139</f>
        <v>1</v>
      </c>
      <c r="G139" s="881" t="s">
        <v>240</v>
      </c>
      <c r="H139" s="973">
        <f>+AD139/AD139</f>
        <v>1</v>
      </c>
      <c r="I139" s="552" t="s">
        <v>259</v>
      </c>
      <c r="J139" s="973">
        <f>+AD139/AD139</f>
        <v>1</v>
      </c>
      <c r="K139" s="552" t="s">
        <v>260</v>
      </c>
      <c r="L139" s="531" t="s">
        <v>261</v>
      </c>
      <c r="M139" s="667" t="str">
        <f t="shared" ref="M139" si="71">CONCATENATE(U139,$U$32,U140)</f>
        <v># de eventos de promoción del sector minero colombiano realizados / # de eventos de promoción del sector minero colombiano programados</v>
      </c>
      <c r="N139" s="531" t="s">
        <v>262</v>
      </c>
      <c r="O139" s="661" t="s">
        <v>210</v>
      </c>
      <c r="P139" s="1089">
        <v>0.23529349563518695</v>
      </c>
      <c r="Q139" s="1092">
        <v>8</v>
      </c>
      <c r="R139" s="980" t="s">
        <v>200</v>
      </c>
      <c r="S139" s="980" t="s">
        <v>200</v>
      </c>
      <c r="T139" s="1086" t="s">
        <v>201</v>
      </c>
      <c r="U139" s="212" t="s">
        <v>263</v>
      </c>
      <c r="V139" s="188"/>
      <c r="W139" s="188"/>
      <c r="X139" s="188"/>
      <c r="Y139" s="188"/>
      <c r="Z139" s="130"/>
      <c r="AA139" s="130"/>
      <c r="AB139" s="130"/>
      <c r="AC139" s="130"/>
      <c r="AD139" s="648">
        <f>+AE139+AF139+AG139</f>
        <v>508000000</v>
      </c>
      <c r="AE139" s="651">
        <v>0</v>
      </c>
      <c r="AF139" s="651">
        <v>508000000</v>
      </c>
      <c r="AG139" s="651">
        <v>0</v>
      </c>
      <c r="AH139" s="552" t="s">
        <v>246</v>
      </c>
      <c r="AI139" s="552" t="s">
        <v>247</v>
      </c>
      <c r="AJ139" s="967" t="s">
        <v>94</v>
      </c>
      <c r="AK139" s="967"/>
      <c r="AL139" s="967"/>
      <c r="AM139" s="967" t="s">
        <v>94</v>
      </c>
      <c r="AN139" s="967"/>
      <c r="AO139" s="552" t="s">
        <v>94</v>
      </c>
      <c r="AP139" s="967"/>
      <c r="AQ139" s="967"/>
      <c r="AR139" s="552" t="s">
        <v>94</v>
      </c>
      <c r="AS139" s="967"/>
      <c r="AT139" s="190" t="s">
        <v>129</v>
      </c>
      <c r="AU139" s="131">
        <f t="shared" ref="AU139:BB139" si="72">+V141*$J$139</f>
        <v>0</v>
      </c>
      <c r="AV139" s="116">
        <f t="shared" si="72"/>
        <v>0</v>
      </c>
      <c r="AW139" s="131">
        <f t="shared" si="72"/>
        <v>0</v>
      </c>
      <c r="AX139" s="116">
        <f t="shared" si="72"/>
        <v>0</v>
      </c>
      <c r="AY139" s="131">
        <f t="shared" si="72"/>
        <v>0</v>
      </c>
      <c r="AZ139" s="116">
        <f t="shared" si="72"/>
        <v>0</v>
      </c>
      <c r="BA139" s="131">
        <f t="shared" si="72"/>
        <v>0</v>
      </c>
      <c r="BB139" s="116">
        <f t="shared" si="72"/>
        <v>0</v>
      </c>
      <c r="BC139" s="566">
        <f>+BB141</f>
        <v>0</v>
      </c>
      <c r="BD139" s="581">
        <f>+BC139</f>
        <v>0</v>
      </c>
      <c r="BE139" s="117"/>
      <c r="BF139" s="117"/>
    </row>
    <row r="140" spans="1:60" s="120" customFormat="1" ht="35.1" customHeight="1" thickBot="1" x14ac:dyDescent="0.3">
      <c r="A140" s="139"/>
      <c r="B140" s="664"/>
      <c r="C140" s="673"/>
      <c r="D140" s="817"/>
      <c r="E140" s="689"/>
      <c r="F140" s="974"/>
      <c r="G140" s="882"/>
      <c r="H140" s="974"/>
      <c r="I140" s="553"/>
      <c r="J140" s="974"/>
      <c r="K140" s="553"/>
      <c r="L140" s="532"/>
      <c r="M140" s="667"/>
      <c r="N140" s="532"/>
      <c r="O140" s="662"/>
      <c r="P140" s="1090"/>
      <c r="Q140" s="1093"/>
      <c r="R140" s="980"/>
      <c r="S140" s="980"/>
      <c r="T140" s="1087"/>
      <c r="U140" s="121" t="s">
        <v>264</v>
      </c>
      <c r="V140" s="133">
        <v>9.9999999999999995E-7</v>
      </c>
      <c r="W140" s="122">
        <v>2</v>
      </c>
      <c r="X140" s="133">
        <v>9.9999999999999995E-7</v>
      </c>
      <c r="Y140" s="122">
        <v>2</v>
      </c>
      <c r="Z140" s="133">
        <v>9.9999999999999995E-7</v>
      </c>
      <c r="AA140" s="213">
        <f>SUM(V140:W140)</f>
        <v>2.0000010000000001</v>
      </c>
      <c r="AB140" s="133">
        <v>9.9999999999999995E-7</v>
      </c>
      <c r="AC140" s="213">
        <f>SUM(V140:Y140)</f>
        <v>4.0000020000000003</v>
      </c>
      <c r="AD140" s="649"/>
      <c r="AE140" s="652"/>
      <c r="AF140" s="652"/>
      <c r="AG140" s="652"/>
      <c r="AH140" s="553"/>
      <c r="AI140" s="553"/>
      <c r="AJ140" s="968"/>
      <c r="AK140" s="968"/>
      <c r="AL140" s="968"/>
      <c r="AM140" s="968"/>
      <c r="AN140" s="968"/>
      <c r="AO140" s="553"/>
      <c r="AP140" s="968"/>
      <c r="AQ140" s="968"/>
      <c r="AR140" s="553"/>
      <c r="AS140" s="968"/>
      <c r="AT140" s="190" t="s">
        <v>131</v>
      </c>
      <c r="AU140" s="123">
        <f>+AU139*$H$139</f>
        <v>0</v>
      </c>
      <c r="AV140" s="123">
        <f t="shared" ref="AV140:BB140" si="73">+AV139*$H$139</f>
        <v>0</v>
      </c>
      <c r="AW140" s="123">
        <f t="shared" si="73"/>
        <v>0</v>
      </c>
      <c r="AX140" s="123">
        <f t="shared" si="73"/>
        <v>0</v>
      </c>
      <c r="AY140" s="123">
        <f t="shared" si="73"/>
        <v>0</v>
      </c>
      <c r="AZ140" s="123">
        <f t="shared" si="73"/>
        <v>0</v>
      </c>
      <c r="BA140" s="123">
        <f t="shared" si="73"/>
        <v>0</v>
      </c>
      <c r="BB140" s="123">
        <f t="shared" si="73"/>
        <v>0</v>
      </c>
      <c r="BC140" s="567"/>
      <c r="BD140" s="582"/>
      <c r="BE140" s="117"/>
      <c r="BF140" s="117"/>
    </row>
    <row r="141" spans="1:60" s="120" customFormat="1" ht="24.95" customHeight="1" thickBot="1" x14ac:dyDescent="0.3">
      <c r="A141" s="139"/>
      <c r="B141" s="664"/>
      <c r="C141" s="673"/>
      <c r="D141" s="818"/>
      <c r="E141" s="690"/>
      <c r="F141" s="975"/>
      <c r="G141" s="883"/>
      <c r="H141" s="975"/>
      <c r="I141" s="554"/>
      <c r="J141" s="975"/>
      <c r="K141" s="554"/>
      <c r="L141" s="533"/>
      <c r="M141" s="667"/>
      <c r="N141" s="533"/>
      <c r="O141" s="663"/>
      <c r="P141" s="1091"/>
      <c r="Q141" s="1094"/>
      <c r="R141" s="980"/>
      <c r="S141" s="980"/>
      <c r="T141" s="1088"/>
      <c r="U141" s="125" t="s">
        <v>96</v>
      </c>
      <c r="V141" s="131">
        <f>IF((V139/V140)&lt;$I$8,(V139/V140),IF((V139/V140)&lt;$J$8,(V139/V140),IF((V139/V140)&lt;$J$9,(V139/V140),IF((V139/V140)&gt;=$J$9,$J$9))))</f>
        <v>0</v>
      </c>
      <c r="W141" s="131">
        <f t="shared" ref="W141:AC141" si="74">IF((W139/W140)&lt;$I$8,(W139/W140),IF((W139/W140)&lt;$J$8,(W139/W140),IF((W139/W140)&lt;$J$9,(W139/W140),IF((W139/W140)&gt;=$J$9,$J$9))))</f>
        <v>0</v>
      </c>
      <c r="X141" s="131">
        <f>IF((X139/X140)&lt;$I$8,(X139/X140),IF((X139/X140)&lt;$J$8,(X139/X140),IF((X139/X140)&lt;$J$9,(X139/X140),IF((X139/X140)&gt;=$J$9,$J$9))))</f>
        <v>0</v>
      </c>
      <c r="Y141" s="131">
        <f t="shared" si="74"/>
        <v>0</v>
      </c>
      <c r="Z141" s="131">
        <f>IF((Z139/Z140)&lt;$I$8,(Z139/Z140),IF((Z139/Z140)&lt;$J$8,(Z139/Z140),IF((Z139/Z140)&lt;$J$9,(Z139/Z140),IF((Z139/Z140)&gt;=$J$9,$J$9))))</f>
        <v>0</v>
      </c>
      <c r="AA141" s="131">
        <f t="shared" si="74"/>
        <v>0</v>
      </c>
      <c r="AB141" s="131">
        <f>IF((AB139/AB140)&lt;$I$8,(AB139/AB140),IF((AB139/AB140)&lt;$J$8,(AB139/AB140),IF((AB139/AB140)&lt;$J$9,(AB139/AB140),IF((AB139/AB140)&gt;=$J$9,$J$9))))</f>
        <v>0</v>
      </c>
      <c r="AC141" s="131">
        <f t="shared" si="74"/>
        <v>0</v>
      </c>
      <c r="AD141" s="650"/>
      <c r="AE141" s="653"/>
      <c r="AF141" s="653"/>
      <c r="AG141" s="653"/>
      <c r="AH141" s="554"/>
      <c r="AI141" s="554"/>
      <c r="AJ141" s="969"/>
      <c r="AK141" s="969"/>
      <c r="AL141" s="969"/>
      <c r="AM141" s="969"/>
      <c r="AN141" s="969"/>
      <c r="AO141" s="554"/>
      <c r="AP141" s="969"/>
      <c r="AQ141" s="969"/>
      <c r="AR141" s="554"/>
      <c r="AS141" s="969"/>
      <c r="AT141" s="190" t="s">
        <v>132</v>
      </c>
      <c r="AU141" s="123">
        <f>+AU140*$F$139</f>
        <v>0</v>
      </c>
      <c r="AV141" s="123">
        <f t="shared" ref="AV141:BB141" si="75">+AV140*$F$139</f>
        <v>0</v>
      </c>
      <c r="AW141" s="123">
        <f t="shared" si="75"/>
        <v>0</v>
      </c>
      <c r="AX141" s="123">
        <f t="shared" si="75"/>
        <v>0</v>
      </c>
      <c r="AY141" s="124">
        <f t="shared" si="75"/>
        <v>0</v>
      </c>
      <c r="AZ141" s="123">
        <f t="shared" si="75"/>
        <v>0</v>
      </c>
      <c r="BA141" s="123">
        <f t="shared" si="75"/>
        <v>0</v>
      </c>
      <c r="BB141" s="127">
        <f t="shared" si="75"/>
        <v>0</v>
      </c>
      <c r="BC141" s="568"/>
      <c r="BD141" s="583"/>
      <c r="BE141" s="117"/>
      <c r="BF141" s="117"/>
    </row>
    <row r="142" spans="1:60" s="159" customFormat="1" ht="24.95" hidden="1" customHeight="1" thickBot="1" x14ac:dyDescent="0.3">
      <c r="A142" s="44"/>
      <c r="B142" s="151"/>
      <c r="C142" s="178">
        <f>+C139+C126</f>
        <v>17</v>
      </c>
      <c r="D142" s="144"/>
      <c r="E142" s="67"/>
      <c r="F142" s="155"/>
      <c r="G142" s="155"/>
      <c r="H142" s="155"/>
      <c r="I142" s="154"/>
      <c r="J142" s="154"/>
      <c r="K142" s="155"/>
      <c r="L142" s="155"/>
      <c r="M142" s="155"/>
      <c r="N142" s="155"/>
      <c r="O142" s="155"/>
      <c r="P142" s="154"/>
      <c r="Q142" s="154"/>
      <c r="R142" s="154"/>
      <c r="S142" s="154"/>
      <c r="T142" s="154"/>
      <c r="U142" s="214"/>
      <c r="V142" s="157"/>
      <c r="W142" s="157"/>
      <c r="X142" s="157"/>
      <c r="Y142" s="157"/>
      <c r="Z142" s="157"/>
      <c r="AA142" s="157"/>
      <c r="AB142" s="157"/>
      <c r="AC142" s="157"/>
      <c r="AD142" s="158"/>
      <c r="AE142" s="157"/>
      <c r="AF142" s="157"/>
      <c r="AG142" s="157"/>
      <c r="AH142" s="157"/>
      <c r="AI142" s="180"/>
      <c r="AJ142" s="145">
        <f>COUNTA(AJ139)</f>
        <v>1</v>
      </c>
      <c r="AK142" s="145">
        <f t="shared" ref="AK142:AS142" si="76">COUNTA(AK139)</f>
        <v>0</v>
      </c>
      <c r="AL142" s="145">
        <f t="shared" si="76"/>
        <v>0</v>
      </c>
      <c r="AM142" s="145">
        <f t="shared" si="76"/>
        <v>1</v>
      </c>
      <c r="AN142" s="145">
        <f t="shared" si="76"/>
        <v>0</v>
      </c>
      <c r="AO142" s="145">
        <f t="shared" si="76"/>
        <v>1</v>
      </c>
      <c r="AP142" s="145">
        <f t="shared" si="76"/>
        <v>0</v>
      </c>
      <c r="AQ142" s="145">
        <f t="shared" si="76"/>
        <v>0</v>
      </c>
      <c r="AR142" s="145">
        <f t="shared" si="76"/>
        <v>1</v>
      </c>
      <c r="AS142" s="145">
        <f t="shared" si="76"/>
        <v>0</v>
      </c>
      <c r="AT142" s="215"/>
      <c r="AU142" s="203">
        <f>+AU141</f>
        <v>0</v>
      </c>
      <c r="AV142" s="203">
        <f t="shared" ref="AV142:BB142" si="77">+AV141</f>
        <v>0</v>
      </c>
      <c r="AW142" s="203">
        <f t="shared" si="77"/>
        <v>0</v>
      </c>
      <c r="AX142" s="204">
        <f t="shared" si="77"/>
        <v>0</v>
      </c>
      <c r="AY142" s="205">
        <f t="shared" si="77"/>
        <v>0</v>
      </c>
      <c r="AZ142" s="206">
        <f t="shared" si="77"/>
        <v>0</v>
      </c>
      <c r="BA142" s="203">
        <f t="shared" si="77"/>
        <v>0</v>
      </c>
      <c r="BB142" s="203">
        <f t="shared" si="77"/>
        <v>0</v>
      </c>
      <c r="BC142" s="215"/>
      <c r="BD142" s="157"/>
      <c r="BE142" s="47"/>
      <c r="BF142" s="94"/>
      <c r="BG142" s="95"/>
      <c r="BH142" s="95"/>
    </row>
    <row r="143" spans="1:60" s="159" customFormat="1" ht="20.100000000000001" hidden="1" customHeight="1" x14ac:dyDescent="0.25">
      <c r="A143" s="44"/>
      <c r="B143" s="151"/>
      <c r="C143" s="216"/>
      <c r="D143" s="153"/>
      <c r="E143" s="153"/>
      <c r="F143" s="153"/>
      <c r="G143" s="153"/>
      <c r="H143" s="153"/>
      <c r="I143" s="154"/>
      <c r="J143" s="154"/>
      <c r="K143" s="155"/>
      <c r="L143" s="155"/>
      <c r="M143" s="155"/>
      <c r="N143" s="155"/>
      <c r="O143" s="155"/>
      <c r="P143" s="155"/>
      <c r="Q143" s="646" t="s">
        <v>154</v>
      </c>
      <c r="R143" s="646"/>
      <c r="S143" s="646"/>
      <c r="T143" s="646"/>
      <c r="U143" s="646"/>
      <c r="V143" s="156">
        <v>0</v>
      </c>
      <c r="W143" s="156">
        <v>1</v>
      </c>
      <c r="X143" s="156">
        <v>0</v>
      </c>
      <c r="Y143" s="156">
        <v>1</v>
      </c>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94"/>
      <c r="BG143" s="95"/>
      <c r="BH143" s="95"/>
    </row>
    <row r="144" spans="1:60" ht="20.100000000000001" hidden="1" customHeight="1" x14ac:dyDescent="0.25">
      <c r="A144" s="44"/>
      <c r="B144" s="151"/>
      <c r="C144" s="216"/>
      <c r="D144" s="153"/>
      <c r="E144" s="153"/>
      <c r="F144" s="153"/>
      <c r="G144" s="153"/>
      <c r="H144" s="153"/>
      <c r="I144" s="154"/>
      <c r="J144" s="154"/>
      <c r="K144" s="155"/>
      <c r="L144" s="155"/>
      <c r="M144" s="155"/>
      <c r="N144" s="155"/>
      <c r="O144" s="155"/>
      <c r="P144" s="155"/>
      <c r="Q144" s="646" t="s">
        <v>155</v>
      </c>
      <c r="R144" s="646"/>
      <c r="S144" s="646"/>
      <c r="T144" s="646"/>
      <c r="U144" s="646"/>
      <c r="V144" s="161">
        <v>0</v>
      </c>
      <c r="W144" s="161">
        <v>1</v>
      </c>
      <c r="X144" s="161"/>
      <c r="Y144" s="161"/>
      <c r="Z144" s="157"/>
      <c r="AA144" s="157"/>
      <c r="AB144" s="157"/>
      <c r="AC144" s="157"/>
      <c r="AD144" s="158"/>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94"/>
      <c r="BG144" s="95"/>
      <c r="BH144" s="95"/>
    </row>
    <row r="145" spans="1:60" ht="20.100000000000001" hidden="1" customHeight="1" x14ac:dyDescent="0.25">
      <c r="A145" s="44"/>
      <c r="B145" s="151"/>
      <c r="C145" s="216"/>
      <c r="D145" s="153"/>
      <c r="E145" s="153"/>
      <c r="F145" s="153"/>
      <c r="G145" s="153"/>
      <c r="H145" s="153"/>
      <c r="I145" s="154"/>
      <c r="J145" s="154"/>
      <c r="K145" s="155"/>
      <c r="L145" s="155"/>
      <c r="M145" s="155"/>
      <c r="N145" s="155"/>
      <c r="O145" s="155"/>
      <c r="P145" s="155"/>
      <c r="Q145" s="646" t="s">
        <v>156</v>
      </c>
      <c r="R145" s="646"/>
      <c r="S145" s="646"/>
      <c r="T145" s="646"/>
      <c r="U145" s="646"/>
      <c r="V145" s="161">
        <v>0</v>
      </c>
      <c r="W145" s="161">
        <v>1</v>
      </c>
      <c r="X145" s="161"/>
      <c r="Y145" s="161"/>
      <c r="Z145" s="157"/>
      <c r="AA145" s="157"/>
      <c r="AB145" s="157"/>
      <c r="AC145" s="157"/>
      <c r="AD145" s="158"/>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94"/>
      <c r="BG145" s="95"/>
      <c r="BH145" s="95"/>
    </row>
    <row r="146" spans="1:60" ht="20.100000000000001" hidden="1" customHeight="1" x14ac:dyDescent="0.25">
      <c r="A146" s="44"/>
      <c r="B146" s="151"/>
      <c r="C146" s="152"/>
      <c r="D146" s="153"/>
      <c r="E146" s="153"/>
      <c r="F146" s="154"/>
      <c r="G146" s="154"/>
      <c r="H146" s="154"/>
      <c r="I146" s="155"/>
      <c r="J146" s="154"/>
      <c r="K146" s="155"/>
      <c r="L146" s="155"/>
      <c r="M146" s="155"/>
      <c r="N146" s="155"/>
      <c r="O146" s="155"/>
      <c r="P146" s="155"/>
      <c r="Q146" s="646" t="s">
        <v>157</v>
      </c>
      <c r="R146" s="646"/>
      <c r="S146" s="646"/>
      <c r="T146" s="646"/>
      <c r="U146" s="647"/>
      <c r="V146" s="161">
        <f>+V143-V144</f>
        <v>0</v>
      </c>
      <c r="W146" s="161">
        <f>+W143-W144</f>
        <v>0</v>
      </c>
      <c r="X146" s="161">
        <f>+X143-X144</f>
        <v>0</v>
      </c>
      <c r="Y146" s="161">
        <f>+Y143-Y144</f>
        <v>1</v>
      </c>
      <c r="Z146" s="157"/>
      <c r="AA146" s="157"/>
      <c r="AB146" s="157"/>
      <c r="AC146" s="157"/>
      <c r="AD146" s="158"/>
      <c r="AE146" s="157"/>
      <c r="AF146" s="157"/>
      <c r="AG146" s="157"/>
      <c r="AH146" s="157"/>
      <c r="AI146" s="157"/>
      <c r="AJ146" s="157"/>
      <c r="AK146" s="157"/>
      <c r="AL146" s="157"/>
      <c r="AM146" s="157"/>
      <c r="AN146" s="157"/>
      <c r="AO146" s="157"/>
      <c r="AP146" s="157"/>
      <c r="AQ146" s="157"/>
      <c r="AR146" s="157"/>
      <c r="AS146" s="157"/>
      <c r="AT146" s="157"/>
      <c r="AU146" s="48"/>
      <c r="AV146" s="48"/>
      <c r="AW146" s="48"/>
      <c r="AX146" s="48"/>
      <c r="AY146" s="48"/>
      <c r="AZ146" s="48"/>
      <c r="BA146" s="48"/>
      <c r="BB146" s="48"/>
      <c r="BC146" s="48"/>
      <c r="BD146" s="48"/>
      <c r="BE146" s="47"/>
      <c r="BF146" s="94"/>
      <c r="BG146" s="95"/>
      <c r="BH146" s="95"/>
    </row>
    <row r="147" spans="1:60" ht="20.100000000000001" hidden="1" customHeight="1" x14ac:dyDescent="0.25">
      <c r="A147" s="44"/>
      <c r="B147" s="151"/>
      <c r="C147" s="152"/>
      <c r="D147" s="153"/>
      <c r="E147" s="153"/>
      <c r="F147" s="154"/>
      <c r="G147" s="154"/>
      <c r="H147" s="154"/>
      <c r="I147" s="155"/>
      <c r="J147" s="154"/>
      <c r="K147" s="155"/>
      <c r="L147" s="155"/>
      <c r="M147" s="155"/>
      <c r="N147" s="155"/>
      <c r="O147" s="155"/>
      <c r="P147" s="155"/>
      <c r="Q147" s="646" t="s">
        <v>158</v>
      </c>
      <c r="R147" s="646"/>
      <c r="S147" s="646"/>
      <c r="T147" s="646"/>
      <c r="U147" s="646"/>
      <c r="V147" s="156">
        <f>+V143</f>
        <v>0</v>
      </c>
      <c r="W147" s="156">
        <f>+W143</f>
        <v>1</v>
      </c>
      <c r="X147" s="156">
        <f>+X143</f>
        <v>0</v>
      </c>
      <c r="Y147" s="156">
        <f>+Y143</f>
        <v>1</v>
      </c>
      <c r="Z147" s="157"/>
      <c r="AA147" s="157"/>
      <c r="AB147" s="157"/>
      <c r="AC147" s="157"/>
      <c r="AD147" s="158"/>
      <c r="AE147" s="157"/>
      <c r="AF147" s="157"/>
      <c r="AG147" s="157"/>
      <c r="AH147" s="157"/>
      <c r="AI147" s="157"/>
      <c r="AJ147" s="157"/>
      <c r="AK147" s="157"/>
      <c r="AL147" s="157"/>
      <c r="AM147" s="157"/>
      <c r="AN147" s="157"/>
      <c r="AO147" s="157"/>
      <c r="AP147" s="157"/>
      <c r="AQ147" s="157"/>
      <c r="AR147" s="157"/>
      <c r="AS147" s="157"/>
      <c r="AT147" s="157"/>
      <c r="AU147" s="48"/>
      <c r="AV147" s="48"/>
      <c r="AW147" s="48"/>
      <c r="AX147" s="48"/>
      <c r="AY147" s="48"/>
      <c r="AZ147" s="48"/>
      <c r="BA147" s="48"/>
      <c r="BB147" s="48"/>
      <c r="BC147" s="48"/>
      <c r="BD147" s="48"/>
      <c r="BE147" s="47"/>
      <c r="BF147" s="94"/>
      <c r="BG147" s="95"/>
      <c r="BH147" s="95"/>
    </row>
    <row r="148" spans="1:60" ht="20.100000000000001" hidden="1" customHeight="1" x14ac:dyDescent="0.25">
      <c r="A148" s="44"/>
      <c r="B148" s="151"/>
      <c r="C148" s="152"/>
      <c r="D148" s="153"/>
      <c r="E148" s="153"/>
      <c r="F148" s="154"/>
      <c r="G148" s="154"/>
      <c r="H148" s="154"/>
      <c r="I148" s="155"/>
      <c r="J148" s="154"/>
      <c r="K148" s="155"/>
      <c r="L148" s="155"/>
      <c r="M148" s="155"/>
      <c r="N148" s="155"/>
      <c r="O148" s="155"/>
      <c r="P148" s="155"/>
      <c r="Q148" s="646" t="s">
        <v>159</v>
      </c>
      <c r="R148" s="646"/>
      <c r="S148" s="646"/>
      <c r="T148" s="646"/>
      <c r="U148" s="646"/>
      <c r="V148" s="161">
        <v>0</v>
      </c>
      <c r="W148" s="161">
        <v>1</v>
      </c>
      <c r="X148" s="161"/>
      <c r="Y148" s="161"/>
      <c r="Z148" s="157"/>
      <c r="AA148" s="157"/>
      <c r="AB148" s="157"/>
      <c r="AC148" s="157"/>
      <c r="AD148" s="158"/>
      <c r="AE148" s="157"/>
      <c r="AF148" s="157"/>
      <c r="AG148" s="157"/>
      <c r="AH148" s="157"/>
      <c r="AI148" s="157"/>
      <c r="AJ148" s="157"/>
      <c r="AK148" s="157"/>
      <c r="AL148" s="157"/>
      <c r="AM148" s="157"/>
      <c r="AN148" s="157"/>
      <c r="AO148" s="157"/>
      <c r="AP148" s="157"/>
      <c r="AQ148" s="157"/>
      <c r="AR148" s="157"/>
      <c r="AS148" s="157"/>
      <c r="AT148" s="157"/>
      <c r="AU148" s="48"/>
      <c r="AV148" s="48"/>
      <c r="AW148" s="48"/>
      <c r="AX148" s="48"/>
      <c r="AY148" s="48"/>
      <c r="AZ148" s="48"/>
      <c r="BA148" s="48"/>
      <c r="BB148" s="48"/>
      <c r="BC148" s="48"/>
      <c r="BD148" s="48"/>
      <c r="BE148" s="47"/>
      <c r="BF148" s="94"/>
      <c r="BG148" s="95"/>
      <c r="BH148" s="95"/>
    </row>
    <row r="149" spans="1:60" ht="15" hidden="1" customHeight="1" x14ac:dyDescent="0.25">
      <c r="A149" s="79"/>
      <c r="B149" s="80"/>
      <c r="C149" s="88"/>
      <c r="D149" s="82"/>
      <c r="E149" s="82"/>
      <c r="F149" s="46"/>
      <c r="G149" s="46"/>
      <c r="H149" s="46"/>
      <c r="I149" s="46"/>
      <c r="J149" s="83"/>
      <c r="K149" s="46"/>
      <c r="L149" s="46"/>
      <c r="M149" s="46"/>
      <c r="N149" s="46"/>
      <c r="O149" s="46"/>
      <c r="P149" s="46"/>
      <c r="Q149" s="46"/>
      <c r="R149" s="46"/>
      <c r="S149" s="46"/>
      <c r="T149" s="46"/>
      <c r="U149" s="46"/>
      <c r="V149" s="73"/>
      <c r="W149" s="73"/>
      <c r="X149" s="73"/>
      <c r="Y149" s="73"/>
      <c r="Z149" s="46"/>
      <c r="AA149" s="46"/>
      <c r="AB149" s="46"/>
      <c r="AC149" s="46"/>
      <c r="AD149" s="47"/>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7"/>
      <c r="BF149" s="94"/>
      <c r="BG149" s="95"/>
      <c r="BH149" s="95"/>
    </row>
    <row r="150" spans="1:60" ht="20.100000000000001" hidden="1" customHeight="1" x14ac:dyDescent="0.25">
      <c r="A150" s="79"/>
      <c r="B150" s="80"/>
      <c r="C150" s="85"/>
      <c r="D150" s="109" t="s">
        <v>103</v>
      </c>
      <c r="E150" s="82"/>
      <c r="F150" s="46"/>
      <c r="G150" s="46"/>
      <c r="H150" s="46"/>
      <c r="I150" s="46"/>
      <c r="J150" s="83"/>
      <c r="K150" s="46"/>
      <c r="L150" s="46"/>
      <c r="M150" s="46"/>
      <c r="N150" s="46"/>
      <c r="O150" s="46"/>
      <c r="P150" s="46"/>
      <c r="Q150" s="46"/>
      <c r="R150" s="46"/>
      <c r="S150" s="46"/>
      <c r="T150" s="46"/>
      <c r="U150" s="46"/>
      <c r="V150" s="42"/>
      <c r="W150" s="46"/>
      <c r="X150" s="46"/>
      <c r="Y150" s="46"/>
      <c r="Z150" s="46"/>
      <c r="AA150" s="46"/>
      <c r="AB150" s="46"/>
      <c r="AC150" s="46"/>
      <c r="AD150" s="47"/>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9"/>
    </row>
    <row r="151" spans="1:60" s="38" customFormat="1" ht="20.100000000000001" customHeight="1" x14ac:dyDescent="0.25">
      <c r="A151" s="207"/>
      <c r="B151" s="208"/>
      <c r="C151" s="209"/>
      <c r="D151" s="1000" t="s">
        <v>22</v>
      </c>
      <c r="E151" s="1000"/>
      <c r="F151" s="1000"/>
      <c r="G151" s="1000"/>
      <c r="H151" s="1000"/>
      <c r="I151" s="1000"/>
      <c r="J151" s="1000"/>
      <c r="K151" s="1000"/>
      <c r="L151" s="1000"/>
      <c r="M151" s="1000"/>
      <c r="N151" s="1000"/>
      <c r="O151" s="1000"/>
      <c r="P151" s="1000"/>
      <c r="Q151" s="1000"/>
      <c r="R151" s="1000"/>
      <c r="S151" s="1000"/>
      <c r="T151" s="1000"/>
      <c r="U151" s="1000"/>
      <c r="V151" s="1000"/>
      <c r="W151" s="1000"/>
      <c r="X151" s="1000"/>
      <c r="Y151" s="1000"/>
      <c r="Z151" s="1000"/>
      <c r="AA151" s="1000"/>
      <c r="AB151" s="1000"/>
      <c r="AC151" s="1000"/>
      <c r="AD151" s="1000"/>
      <c r="AE151" s="1000"/>
      <c r="AF151" s="1000"/>
      <c r="AG151" s="1000"/>
      <c r="AH151" s="1000"/>
      <c r="AI151" s="1000"/>
      <c r="AJ151" s="1000"/>
      <c r="AK151" s="1000"/>
      <c r="AL151" s="1000"/>
      <c r="AM151" s="1000"/>
      <c r="AN151" s="1000"/>
      <c r="AO151" s="1000"/>
      <c r="AP151" s="1000"/>
      <c r="AQ151" s="1000"/>
      <c r="AR151" s="1000"/>
      <c r="AS151" s="1000"/>
      <c r="AT151" s="561" t="s">
        <v>104</v>
      </c>
      <c r="AU151" s="563"/>
      <c r="AV151" s="563"/>
      <c r="AW151" s="563"/>
      <c r="AX151" s="563"/>
      <c r="AY151" s="563"/>
      <c r="AZ151" s="563"/>
      <c r="BA151" s="563"/>
      <c r="BB151" s="562"/>
      <c r="BC151" s="561" t="s">
        <v>105</v>
      </c>
      <c r="BD151" s="562"/>
      <c r="BE151" s="35"/>
      <c r="BF151" s="32"/>
      <c r="BG151" s="210"/>
      <c r="BH151" s="210"/>
    </row>
    <row r="152" spans="1:60" ht="15" customHeight="1" x14ac:dyDescent="0.25">
      <c r="A152" s="79"/>
      <c r="B152" s="80"/>
      <c r="C152" s="85"/>
      <c r="D152" s="691" t="s">
        <v>106</v>
      </c>
      <c r="E152" s="691" t="s">
        <v>107</v>
      </c>
      <c r="F152" s="711" t="s">
        <v>108</v>
      </c>
      <c r="G152" s="691" t="s">
        <v>109</v>
      </c>
      <c r="H152" s="711" t="s">
        <v>110</v>
      </c>
      <c r="I152" s="691" t="s">
        <v>51</v>
      </c>
      <c r="J152" s="712" t="s">
        <v>111</v>
      </c>
      <c r="K152" s="691" t="s">
        <v>52</v>
      </c>
      <c r="L152" s="691"/>
      <c r="M152" s="691"/>
      <c r="N152" s="691" t="s">
        <v>53</v>
      </c>
      <c r="O152" s="691" t="s">
        <v>54</v>
      </c>
      <c r="P152" s="703" t="s">
        <v>55</v>
      </c>
      <c r="Q152" s="703" t="s">
        <v>56</v>
      </c>
      <c r="R152" s="703" t="s">
        <v>57</v>
      </c>
      <c r="S152" s="703" t="s">
        <v>58</v>
      </c>
      <c r="T152" s="703" t="s">
        <v>59</v>
      </c>
      <c r="U152" s="691" t="s">
        <v>60</v>
      </c>
      <c r="V152" s="691"/>
      <c r="W152" s="691"/>
      <c r="X152" s="691"/>
      <c r="Y152" s="691"/>
      <c r="Z152" s="704" t="s">
        <v>61</v>
      </c>
      <c r="AA152" s="705"/>
      <c r="AB152" s="705"/>
      <c r="AC152" s="706"/>
      <c r="AD152" s="692" t="s">
        <v>62</v>
      </c>
      <c r="AE152" s="693"/>
      <c r="AF152" s="694"/>
      <c r="AG152" s="1081" t="s">
        <v>63</v>
      </c>
      <c r="AH152" s="1081" t="s">
        <v>64</v>
      </c>
      <c r="AI152" s="1081" t="s">
        <v>65</v>
      </c>
      <c r="AJ152" s="1083" t="s">
        <v>66</v>
      </c>
      <c r="AK152" s="1083"/>
      <c r="AL152" s="1083"/>
      <c r="AM152" s="1083"/>
      <c r="AN152" s="1084"/>
      <c r="AO152" s="1084"/>
      <c r="AP152" s="1084"/>
      <c r="AQ152" s="1084"/>
      <c r="AR152" s="1084"/>
      <c r="AS152" s="1085"/>
      <c r="AT152" s="558" t="s">
        <v>60</v>
      </c>
      <c r="AU152" s="569" t="s">
        <v>112</v>
      </c>
      <c r="AV152" s="570"/>
      <c r="AW152" s="570"/>
      <c r="AX152" s="571"/>
      <c r="AY152" s="569" t="s">
        <v>113</v>
      </c>
      <c r="AZ152" s="570"/>
      <c r="BA152" s="570"/>
      <c r="BB152" s="571"/>
      <c r="BC152" s="584" t="s">
        <v>114</v>
      </c>
      <c r="BD152" s="587" t="s">
        <v>102</v>
      </c>
      <c r="BE152" s="48"/>
      <c r="BF152" s="49"/>
    </row>
    <row r="153" spans="1:60" ht="15" customHeight="1" x14ac:dyDescent="0.25">
      <c r="A153" s="79"/>
      <c r="B153" s="80"/>
      <c r="C153" s="85"/>
      <c r="D153" s="691"/>
      <c r="E153" s="691"/>
      <c r="F153" s="711"/>
      <c r="G153" s="691"/>
      <c r="H153" s="711"/>
      <c r="I153" s="691"/>
      <c r="J153" s="712"/>
      <c r="K153" s="691"/>
      <c r="L153" s="691"/>
      <c r="M153" s="691"/>
      <c r="N153" s="691"/>
      <c r="O153" s="691"/>
      <c r="P153" s="703"/>
      <c r="Q153" s="703"/>
      <c r="R153" s="703"/>
      <c r="S153" s="703"/>
      <c r="T153" s="703"/>
      <c r="U153" s="691" t="s">
        <v>67</v>
      </c>
      <c r="V153" s="691"/>
      <c r="W153" s="691"/>
      <c r="X153" s="691"/>
      <c r="Y153" s="691"/>
      <c r="Z153" s="692" t="s">
        <v>67</v>
      </c>
      <c r="AA153" s="693"/>
      <c r="AB153" s="693"/>
      <c r="AC153" s="694"/>
      <c r="AD153" s="1081" t="s">
        <v>68</v>
      </c>
      <c r="AE153" s="1081" t="s">
        <v>69</v>
      </c>
      <c r="AF153" s="1081" t="s">
        <v>70</v>
      </c>
      <c r="AG153" s="1082"/>
      <c r="AH153" s="1082"/>
      <c r="AI153" s="1082"/>
      <c r="AJ153" s="691"/>
      <c r="AK153" s="691"/>
      <c r="AL153" s="691"/>
      <c r="AM153" s="691"/>
      <c r="AN153" s="705"/>
      <c r="AO153" s="705"/>
      <c r="AP153" s="705"/>
      <c r="AQ153" s="705"/>
      <c r="AR153" s="705"/>
      <c r="AS153" s="706"/>
      <c r="AT153" s="559"/>
      <c r="AU153" s="572"/>
      <c r="AV153" s="573"/>
      <c r="AW153" s="573"/>
      <c r="AX153" s="574"/>
      <c r="AY153" s="572"/>
      <c r="AZ153" s="573"/>
      <c r="BA153" s="573"/>
      <c r="BB153" s="574"/>
      <c r="BC153" s="585"/>
      <c r="BD153" s="588"/>
      <c r="BE153" s="48"/>
      <c r="BF153" s="49"/>
    </row>
    <row r="154" spans="1:60" s="95" customFormat="1" ht="24" customHeight="1" thickBot="1" x14ac:dyDescent="0.3">
      <c r="A154" s="86"/>
      <c r="B154" s="87"/>
      <c r="C154" s="88"/>
      <c r="D154" s="691"/>
      <c r="E154" s="691"/>
      <c r="F154" s="711"/>
      <c r="G154" s="691"/>
      <c r="H154" s="711"/>
      <c r="I154" s="691"/>
      <c r="J154" s="712"/>
      <c r="K154" s="89" t="s">
        <v>71</v>
      </c>
      <c r="L154" s="89" t="s">
        <v>115</v>
      </c>
      <c r="M154" s="89" t="s">
        <v>72</v>
      </c>
      <c r="N154" s="691"/>
      <c r="O154" s="691"/>
      <c r="P154" s="703"/>
      <c r="Q154" s="703"/>
      <c r="R154" s="703"/>
      <c r="S154" s="703"/>
      <c r="T154" s="703"/>
      <c r="U154" s="90" t="s">
        <v>73</v>
      </c>
      <c r="V154" s="89">
        <v>1</v>
      </c>
      <c r="W154" s="91">
        <v>2</v>
      </c>
      <c r="X154" s="91">
        <v>3</v>
      </c>
      <c r="Y154" s="110">
        <v>4</v>
      </c>
      <c r="Z154" s="162">
        <v>1</v>
      </c>
      <c r="AA154" s="110">
        <v>2</v>
      </c>
      <c r="AB154" s="110">
        <v>3</v>
      </c>
      <c r="AC154" s="110">
        <v>4</v>
      </c>
      <c r="AD154" s="1082"/>
      <c r="AE154" s="1082"/>
      <c r="AF154" s="1082"/>
      <c r="AG154" s="1082"/>
      <c r="AH154" s="1082"/>
      <c r="AI154" s="1083"/>
      <c r="AJ154" s="89" t="s">
        <v>74</v>
      </c>
      <c r="AK154" s="91" t="s">
        <v>75</v>
      </c>
      <c r="AL154" s="91" t="s">
        <v>76</v>
      </c>
      <c r="AM154" s="91" t="s">
        <v>77</v>
      </c>
      <c r="AN154" s="92" t="s">
        <v>78</v>
      </c>
      <c r="AO154" s="92" t="s">
        <v>79</v>
      </c>
      <c r="AP154" s="92" t="s">
        <v>80</v>
      </c>
      <c r="AQ154" s="92" t="s">
        <v>81</v>
      </c>
      <c r="AR154" s="93" t="s">
        <v>82</v>
      </c>
      <c r="AS154" s="93" t="s">
        <v>83</v>
      </c>
      <c r="AT154" s="560"/>
      <c r="AU154" s="217" t="s">
        <v>116</v>
      </c>
      <c r="AV154" s="217" t="s">
        <v>117</v>
      </c>
      <c r="AW154" s="217" t="s">
        <v>118</v>
      </c>
      <c r="AX154" s="217" t="s">
        <v>119</v>
      </c>
      <c r="AY154" s="217" t="s">
        <v>116</v>
      </c>
      <c r="AZ154" s="217" t="s">
        <v>117</v>
      </c>
      <c r="BA154" s="217" t="s">
        <v>118</v>
      </c>
      <c r="BB154" s="217" t="s">
        <v>119</v>
      </c>
      <c r="BC154" s="586"/>
      <c r="BD154" s="589"/>
      <c r="BE154" s="48"/>
      <c r="BF154" s="49"/>
    </row>
    <row r="155" spans="1:60" s="120" customFormat="1" ht="156.94999999999999" customHeight="1" x14ac:dyDescent="0.25">
      <c r="A155" s="675"/>
      <c r="B155" s="664"/>
      <c r="C155" s="665">
        <v>1</v>
      </c>
      <c r="D155" s="1078" t="s">
        <v>22</v>
      </c>
      <c r="E155" s="879" t="s">
        <v>192</v>
      </c>
      <c r="F155" s="777">
        <v>0.9</v>
      </c>
      <c r="G155" s="1074" t="s">
        <v>265</v>
      </c>
      <c r="H155" s="1074">
        <v>0.6</v>
      </c>
      <c r="I155" s="1075" t="s">
        <v>266</v>
      </c>
      <c r="J155" s="927">
        <v>0.15</v>
      </c>
      <c r="K155" s="927" t="s">
        <v>267</v>
      </c>
      <c r="L155" s="722" t="s">
        <v>268</v>
      </c>
      <c r="M155" s="722" t="str">
        <f>CONCATENATE(U155,"/",U156)</f>
        <v># de Solicitudes gestionadas dentro de los tiempos establecidos durante el periodo/Total de Solicitudes  programadas para tramitar en el periodo</v>
      </c>
      <c r="N155" s="722" t="s">
        <v>269</v>
      </c>
      <c r="O155" s="722" t="s">
        <v>89</v>
      </c>
      <c r="P155" s="732">
        <v>0.05</v>
      </c>
      <c r="Q155" s="993">
        <v>1</v>
      </c>
      <c r="R155" s="993">
        <v>1</v>
      </c>
      <c r="S155" s="993">
        <v>1</v>
      </c>
      <c r="T155" s="764" t="s">
        <v>151</v>
      </c>
      <c r="U155" s="212" t="s">
        <v>270</v>
      </c>
      <c r="V155" s="188"/>
      <c r="W155" s="188"/>
      <c r="X155" s="188"/>
      <c r="Y155" s="188"/>
      <c r="Z155" s="114"/>
      <c r="AA155" s="114"/>
      <c r="AB155" s="114"/>
      <c r="AC155" s="114"/>
      <c r="AD155" s="964">
        <f>+AE155+AF155+AG155</f>
        <v>2920045075</v>
      </c>
      <c r="AE155" s="961">
        <v>88192000</v>
      </c>
      <c r="AF155" s="961">
        <f>2820822048+11031027</f>
        <v>2831853075</v>
      </c>
      <c r="AG155" s="961">
        <v>0</v>
      </c>
      <c r="AH155" s="669" t="s">
        <v>271</v>
      </c>
      <c r="AI155" s="669" t="s">
        <v>272</v>
      </c>
      <c r="AJ155" s="669" t="s">
        <v>94</v>
      </c>
      <c r="AK155" s="669" t="s">
        <v>94</v>
      </c>
      <c r="AL155" s="669"/>
      <c r="AM155" s="669" t="s">
        <v>94</v>
      </c>
      <c r="AN155" s="669" t="s">
        <v>94</v>
      </c>
      <c r="AO155" s="669"/>
      <c r="AP155" s="669"/>
      <c r="AQ155" s="669" t="s">
        <v>94</v>
      </c>
      <c r="AR155" s="669"/>
      <c r="AS155" s="880"/>
      <c r="AT155" s="190" t="s">
        <v>129</v>
      </c>
      <c r="AU155" s="131">
        <f t="shared" ref="AU155:BB155" si="78">+V157*$J$155</f>
        <v>0</v>
      </c>
      <c r="AV155" s="203">
        <f t="shared" si="78"/>
        <v>0</v>
      </c>
      <c r="AW155" s="203">
        <f t="shared" si="78"/>
        <v>0</v>
      </c>
      <c r="AX155" s="203">
        <f t="shared" si="78"/>
        <v>0</v>
      </c>
      <c r="AY155" s="131">
        <f t="shared" si="78"/>
        <v>0</v>
      </c>
      <c r="AZ155" s="203">
        <f t="shared" si="78"/>
        <v>0</v>
      </c>
      <c r="BA155" s="203">
        <f t="shared" si="78"/>
        <v>0</v>
      </c>
      <c r="BB155" s="203">
        <f t="shared" si="78"/>
        <v>0</v>
      </c>
      <c r="BC155" s="578">
        <f>+BB157</f>
        <v>0</v>
      </c>
      <c r="BD155" s="581">
        <f>+BC155+BC185</f>
        <v>1.9960079840319361E-2</v>
      </c>
      <c r="BE155" s="191"/>
      <c r="BF155" s="192"/>
      <c r="BG155" s="193"/>
      <c r="BH155" s="193"/>
    </row>
    <row r="156" spans="1:60" s="120" customFormat="1" ht="156.94999999999999" customHeight="1" thickBot="1" x14ac:dyDescent="0.3">
      <c r="A156" s="675"/>
      <c r="B156" s="664"/>
      <c r="C156" s="665"/>
      <c r="D156" s="1079"/>
      <c r="E156" s="879"/>
      <c r="F156" s="777"/>
      <c r="G156" s="1074"/>
      <c r="H156" s="1074"/>
      <c r="I156" s="1076"/>
      <c r="J156" s="928"/>
      <c r="K156" s="928"/>
      <c r="L156" s="723"/>
      <c r="M156" s="723"/>
      <c r="N156" s="723"/>
      <c r="O156" s="723"/>
      <c r="P156" s="732"/>
      <c r="Q156" s="994"/>
      <c r="R156" s="994"/>
      <c r="S156" s="994"/>
      <c r="T156" s="765"/>
      <c r="U156" s="218" t="s">
        <v>273</v>
      </c>
      <c r="V156" s="133">
        <v>0.01</v>
      </c>
      <c r="W156" s="219">
        <v>0.01</v>
      </c>
      <c r="X156" s="219">
        <v>0.01</v>
      </c>
      <c r="Y156" s="219">
        <v>0.01</v>
      </c>
      <c r="Z156" s="220">
        <f t="shared" ref="Z156" si="79">+V156</f>
        <v>0.01</v>
      </c>
      <c r="AA156" s="220">
        <f t="shared" ref="AA156" si="80">+V156+W156</f>
        <v>0.02</v>
      </c>
      <c r="AB156" s="220">
        <f t="shared" ref="AB156" si="81">+V156+W156+X156</f>
        <v>0.03</v>
      </c>
      <c r="AC156" s="220">
        <f t="shared" ref="AC156" si="82">+V156+W156+X156+Y156</f>
        <v>0.04</v>
      </c>
      <c r="AD156" s="965"/>
      <c r="AE156" s="962"/>
      <c r="AF156" s="962"/>
      <c r="AG156" s="962"/>
      <c r="AH156" s="670"/>
      <c r="AI156" s="670"/>
      <c r="AJ156" s="670"/>
      <c r="AK156" s="670"/>
      <c r="AL156" s="670"/>
      <c r="AM156" s="670"/>
      <c r="AN156" s="670"/>
      <c r="AO156" s="670"/>
      <c r="AP156" s="670"/>
      <c r="AQ156" s="670"/>
      <c r="AR156" s="670"/>
      <c r="AS156" s="880"/>
      <c r="AT156" s="190" t="s">
        <v>131</v>
      </c>
      <c r="AU156" s="203">
        <f>+(AU155+AU158+AU161+AU164+AU167)*$H$155</f>
        <v>0</v>
      </c>
      <c r="AV156" s="203">
        <f t="shared" ref="AV156:BB156" si="83">+(AV155+AV158+AV161+AV164+AV167)*$H$155</f>
        <v>0</v>
      </c>
      <c r="AW156" s="203">
        <f t="shared" si="83"/>
        <v>0</v>
      </c>
      <c r="AX156" s="203">
        <f t="shared" si="83"/>
        <v>0</v>
      </c>
      <c r="AY156" s="203">
        <f t="shared" si="83"/>
        <v>0</v>
      </c>
      <c r="AZ156" s="203">
        <f t="shared" si="83"/>
        <v>0</v>
      </c>
      <c r="BA156" s="203">
        <f t="shared" si="83"/>
        <v>0</v>
      </c>
      <c r="BB156" s="203">
        <f t="shared" si="83"/>
        <v>0</v>
      </c>
      <c r="BC156" s="579"/>
      <c r="BD156" s="582"/>
      <c r="BE156" s="191"/>
      <c r="BF156" s="192"/>
      <c r="BG156" s="193"/>
      <c r="BH156" s="193"/>
    </row>
    <row r="157" spans="1:60" s="120" customFormat="1" ht="24.95" customHeight="1" thickBot="1" x14ac:dyDescent="0.3">
      <c r="A157" s="675"/>
      <c r="B157" s="664"/>
      <c r="C157" s="665"/>
      <c r="D157" s="1079"/>
      <c r="E157" s="879"/>
      <c r="F157" s="777"/>
      <c r="G157" s="1074"/>
      <c r="H157" s="1074"/>
      <c r="I157" s="1077"/>
      <c r="J157" s="929"/>
      <c r="K157" s="929"/>
      <c r="L157" s="724"/>
      <c r="M157" s="724"/>
      <c r="N157" s="724"/>
      <c r="O157" s="724"/>
      <c r="P157" s="732"/>
      <c r="Q157" s="995"/>
      <c r="R157" s="995"/>
      <c r="S157" s="995"/>
      <c r="T157" s="766"/>
      <c r="U157" s="170" t="s">
        <v>96</v>
      </c>
      <c r="V157" s="131">
        <f>IF((V155/V156)&lt;$I$8,(V155/V156),IF((V155/V156)&lt;$J$8,(V155/V156),IF((V155/V156)&lt;$J$9,(V155/V156),IF((V155/V156)&gt;=$J$9,$J$9))))</f>
        <v>0</v>
      </c>
      <c r="W157" s="221">
        <f t="shared" ref="W157:AC157" si="84">IF((W155/W156)&lt;$I$8,(W155/W156),IF((W155/W156)&lt;$J$8,(W155/W156),IF((W155/W156)&lt;$J$9,(W155/W156),IF((W155/W156)&gt;=$J$9,$J$9))))</f>
        <v>0</v>
      </c>
      <c r="X157" s="221">
        <f t="shared" si="84"/>
        <v>0</v>
      </c>
      <c r="Y157" s="221">
        <f t="shared" si="84"/>
        <v>0</v>
      </c>
      <c r="Z157" s="131">
        <f>IF((Z155/Z156)&lt;$I$8,(Z155/Z156),IF((Z155/Z156)&lt;$J$8,(Z155/Z156),IF((Z155/Z156)&lt;$J$9,(Z155/Z156),IF((Z155/Z156)&gt;=$J$9,$J$9))))</f>
        <v>0</v>
      </c>
      <c r="AA157" s="221">
        <f t="shared" si="84"/>
        <v>0</v>
      </c>
      <c r="AB157" s="221">
        <f t="shared" si="84"/>
        <v>0</v>
      </c>
      <c r="AC157" s="221">
        <f t="shared" si="84"/>
        <v>0</v>
      </c>
      <c r="AD157" s="965"/>
      <c r="AE157" s="962"/>
      <c r="AF157" s="962"/>
      <c r="AG157" s="962"/>
      <c r="AH157" s="670"/>
      <c r="AI157" s="670"/>
      <c r="AJ157" s="671"/>
      <c r="AK157" s="671"/>
      <c r="AL157" s="671"/>
      <c r="AM157" s="671"/>
      <c r="AN157" s="671"/>
      <c r="AO157" s="671"/>
      <c r="AP157" s="671"/>
      <c r="AQ157" s="671"/>
      <c r="AR157" s="671"/>
      <c r="AS157" s="880"/>
      <c r="AT157" s="190" t="s">
        <v>132</v>
      </c>
      <c r="AU157" s="203">
        <f>+(AU156+AU171)*$F$155</f>
        <v>0</v>
      </c>
      <c r="AV157" s="203">
        <f t="shared" ref="AV157:BB157" si="85">+(AV156+AV171)*$F$155</f>
        <v>0</v>
      </c>
      <c r="AW157" s="203">
        <f t="shared" si="85"/>
        <v>0</v>
      </c>
      <c r="AX157" s="203">
        <f t="shared" si="85"/>
        <v>0</v>
      </c>
      <c r="AY157" s="203">
        <f t="shared" si="85"/>
        <v>0</v>
      </c>
      <c r="AZ157" s="203">
        <f t="shared" si="85"/>
        <v>0</v>
      </c>
      <c r="BA157" s="203">
        <f t="shared" si="85"/>
        <v>0</v>
      </c>
      <c r="BB157" s="127">
        <f t="shared" si="85"/>
        <v>0</v>
      </c>
      <c r="BC157" s="579"/>
      <c r="BD157" s="582"/>
      <c r="BE157" s="191"/>
      <c r="BF157" s="192"/>
      <c r="BG157" s="193"/>
      <c r="BH157" s="193"/>
    </row>
    <row r="158" spans="1:60" s="120" customFormat="1" ht="65.099999999999994" customHeight="1" x14ac:dyDescent="0.25">
      <c r="A158" s="675"/>
      <c r="B158" s="664"/>
      <c r="C158" s="665">
        <v>2</v>
      </c>
      <c r="D158" s="1079"/>
      <c r="E158" s="879"/>
      <c r="F158" s="777"/>
      <c r="G158" s="1074"/>
      <c r="H158" s="1074"/>
      <c r="I158" s="1075" t="s">
        <v>274</v>
      </c>
      <c r="J158" s="927">
        <v>0.3</v>
      </c>
      <c r="K158" s="927" t="s">
        <v>275</v>
      </c>
      <c r="L158" s="722" t="s">
        <v>276</v>
      </c>
      <c r="M158" s="722" t="str">
        <f>CONCATENATE(U158,"/",U159)</f>
        <v>No. de Actos administrativos que resuelven de fondo las propuestas de contrato de concesión/No. de Actos administrativos que resuelven de fondo las propuetas de contrato de concesión programadas</v>
      </c>
      <c r="N158" s="722" t="s">
        <v>277</v>
      </c>
      <c r="O158" s="722" t="s">
        <v>89</v>
      </c>
      <c r="P158" s="732">
        <v>0.09</v>
      </c>
      <c r="Q158" s="993">
        <v>1</v>
      </c>
      <c r="R158" s="993">
        <v>1</v>
      </c>
      <c r="S158" s="993">
        <v>1</v>
      </c>
      <c r="T158" s="764" t="s">
        <v>151</v>
      </c>
      <c r="U158" s="212" t="s">
        <v>278</v>
      </c>
      <c r="V158" s="188"/>
      <c r="W158" s="188"/>
      <c r="X158" s="188"/>
      <c r="Y158" s="188"/>
      <c r="Z158" s="130"/>
      <c r="AA158" s="130"/>
      <c r="AB158" s="130"/>
      <c r="AC158" s="130"/>
      <c r="AD158" s="965"/>
      <c r="AE158" s="962"/>
      <c r="AF158" s="962"/>
      <c r="AG158" s="962"/>
      <c r="AH158" s="670"/>
      <c r="AI158" s="670"/>
      <c r="AJ158" s="669" t="s">
        <v>94</v>
      </c>
      <c r="AK158" s="669"/>
      <c r="AL158" s="669"/>
      <c r="AM158" s="669"/>
      <c r="AN158" s="669" t="s">
        <v>94</v>
      </c>
      <c r="AO158" s="669"/>
      <c r="AP158" s="669"/>
      <c r="AQ158" s="669" t="s">
        <v>94</v>
      </c>
      <c r="AR158" s="669"/>
      <c r="AS158" s="669"/>
      <c r="AT158" s="190" t="s">
        <v>129</v>
      </c>
      <c r="AU158" s="203">
        <f t="shared" ref="AU158:BB158" si="86">+V160*$J$158</f>
        <v>0</v>
      </c>
      <c r="AV158" s="203">
        <f t="shared" si="86"/>
        <v>0</v>
      </c>
      <c r="AW158" s="203">
        <f t="shared" si="86"/>
        <v>0</v>
      </c>
      <c r="AX158" s="203">
        <f t="shared" si="86"/>
        <v>0</v>
      </c>
      <c r="AY158" s="203">
        <f t="shared" si="86"/>
        <v>0</v>
      </c>
      <c r="AZ158" s="203">
        <f t="shared" si="86"/>
        <v>0</v>
      </c>
      <c r="BA158" s="203">
        <f t="shared" si="86"/>
        <v>0</v>
      </c>
      <c r="BB158" s="203">
        <f t="shared" si="86"/>
        <v>0</v>
      </c>
      <c r="BC158" s="579"/>
      <c r="BD158" s="582"/>
      <c r="BE158" s="191"/>
      <c r="BF158" s="192"/>
      <c r="BG158" s="193"/>
      <c r="BH158" s="193"/>
    </row>
    <row r="159" spans="1:60" s="120" customFormat="1" ht="65.099999999999994" customHeight="1" x14ac:dyDescent="0.25">
      <c r="A159" s="675"/>
      <c r="B159" s="664"/>
      <c r="C159" s="665"/>
      <c r="D159" s="1079"/>
      <c r="E159" s="879"/>
      <c r="F159" s="777"/>
      <c r="G159" s="1074"/>
      <c r="H159" s="1074"/>
      <c r="I159" s="1076"/>
      <c r="J159" s="928"/>
      <c r="K159" s="928"/>
      <c r="L159" s="723"/>
      <c r="M159" s="723"/>
      <c r="N159" s="723"/>
      <c r="O159" s="723"/>
      <c r="P159" s="732"/>
      <c r="Q159" s="994"/>
      <c r="R159" s="994"/>
      <c r="S159" s="994"/>
      <c r="T159" s="765"/>
      <c r="U159" s="218" t="s">
        <v>279</v>
      </c>
      <c r="V159" s="170">
        <v>760</v>
      </c>
      <c r="W159" s="170">
        <f>360*3</f>
        <v>1080</v>
      </c>
      <c r="X159" s="170">
        <f>360*3</f>
        <v>1080</v>
      </c>
      <c r="Y159" s="170">
        <f>360*3</f>
        <v>1080</v>
      </c>
      <c r="Z159" s="170">
        <f t="shared" ref="Z159" si="87">+V159</f>
        <v>760</v>
      </c>
      <c r="AA159" s="170">
        <f t="shared" ref="AA159" si="88">+V159+W159</f>
        <v>1840</v>
      </c>
      <c r="AB159" s="170">
        <f t="shared" ref="AB159" si="89">+V159+W159+X159</f>
        <v>2920</v>
      </c>
      <c r="AC159" s="170">
        <f t="shared" ref="AC159" si="90">+V159+W159+X159+Y159</f>
        <v>4000</v>
      </c>
      <c r="AD159" s="965"/>
      <c r="AE159" s="962"/>
      <c r="AF159" s="962"/>
      <c r="AG159" s="962"/>
      <c r="AH159" s="670"/>
      <c r="AI159" s="670"/>
      <c r="AJ159" s="670"/>
      <c r="AK159" s="670"/>
      <c r="AL159" s="670"/>
      <c r="AM159" s="670"/>
      <c r="AN159" s="670"/>
      <c r="AO159" s="670"/>
      <c r="AP159" s="670"/>
      <c r="AQ159" s="670"/>
      <c r="AR159" s="670"/>
      <c r="AS159" s="670"/>
      <c r="AT159" s="190" t="s">
        <v>131</v>
      </c>
      <c r="AU159" s="575"/>
      <c r="AV159" s="576"/>
      <c r="AW159" s="576"/>
      <c r="AX159" s="576"/>
      <c r="AY159" s="576"/>
      <c r="AZ159" s="576"/>
      <c r="BA159" s="576"/>
      <c r="BB159" s="577"/>
      <c r="BC159" s="579"/>
      <c r="BD159" s="582"/>
      <c r="BE159" s="191"/>
      <c r="BF159" s="192"/>
      <c r="BG159" s="193"/>
      <c r="BH159" s="193"/>
    </row>
    <row r="160" spans="1:60" s="120" customFormat="1" ht="24.95" customHeight="1" x14ac:dyDescent="0.25">
      <c r="A160" s="675"/>
      <c r="B160" s="664"/>
      <c r="C160" s="665"/>
      <c r="D160" s="1079"/>
      <c r="E160" s="879"/>
      <c r="F160" s="777"/>
      <c r="G160" s="1074"/>
      <c r="H160" s="1074"/>
      <c r="I160" s="1077"/>
      <c r="J160" s="929"/>
      <c r="K160" s="929"/>
      <c r="L160" s="724"/>
      <c r="M160" s="724"/>
      <c r="N160" s="724"/>
      <c r="O160" s="724"/>
      <c r="P160" s="732"/>
      <c r="Q160" s="995"/>
      <c r="R160" s="995"/>
      <c r="S160" s="995"/>
      <c r="T160" s="766"/>
      <c r="U160" s="170" t="s">
        <v>96</v>
      </c>
      <c r="V160" s="221">
        <f>IF((V158/V159)&lt;$I$8,(V158/V159),IF((V158/V159)&lt;$J$8,(V158/V159),IF((V158/V159)&lt;$J$9,(V158/V159),IF((V158/V159)&gt;=$J$9,$J$9))))</f>
        <v>0</v>
      </c>
      <c r="W160" s="221">
        <f t="shared" ref="W160:AC160" si="91">IF((W158/W159)&lt;$I$8,(W158/W159),IF((W158/W159)&lt;$J$8,(W158/W159),IF((W158/W159)&lt;$J$9,(W158/W159),IF((W158/W159)&gt;=$J$9,$J$9))))</f>
        <v>0</v>
      </c>
      <c r="X160" s="221">
        <f t="shared" si="91"/>
        <v>0</v>
      </c>
      <c r="Y160" s="221">
        <f t="shared" si="91"/>
        <v>0</v>
      </c>
      <c r="Z160" s="221">
        <f t="shared" si="91"/>
        <v>0</v>
      </c>
      <c r="AA160" s="221">
        <f t="shared" si="91"/>
        <v>0</v>
      </c>
      <c r="AB160" s="221">
        <f t="shared" si="91"/>
        <v>0</v>
      </c>
      <c r="AC160" s="221">
        <f t="shared" si="91"/>
        <v>0</v>
      </c>
      <c r="AD160" s="965"/>
      <c r="AE160" s="962"/>
      <c r="AF160" s="962"/>
      <c r="AG160" s="962"/>
      <c r="AH160" s="670"/>
      <c r="AI160" s="670"/>
      <c r="AJ160" s="671"/>
      <c r="AK160" s="671"/>
      <c r="AL160" s="671"/>
      <c r="AM160" s="671"/>
      <c r="AN160" s="671"/>
      <c r="AO160" s="671"/>
      <c r="AP160" s="671"/>
      <c r="AQ160" s="671"/>
      <c r="AR160" s="671"/>
      <c r="AS160" s="671"/>
      <c r="AT160" s="190" t="s">
        <v>132</v>
      </c>
      <c r="AU160" s="575"/>
      <c r="AV160" s="576"/>
      <c r="AW160" s="576"/>
      <c r="AX160" s="576"/>
      <c r="AY160" s="576"/>
      <c r="AZ160" s="576"/>
      <c r="BA160" s="576"/>
      <c r="BB160" s="577"/>
      <c r="BC160" s="579"/>
      <c r="BD160" s="582"/>
      <c r="BE160" s="191"/>
      <c r="BF160" s="192"/>
      <c r="BG160" s="193"/>
      <c r="BH160" s="193"/>
    </row>
    <row r="161" spans="1:60" s="120" customFormat="1" ht="39.950000000000003" customHeight="1" x14ac:dyDescent="0.25">
      <c r="A161" s="675"/>
      <c r="B161" s="664"/>
      <c r="C161" s="665">
        <v>3</v>
      </c>
      <c r="D161" s="1079"/>
      <c r="E161" s="879"/>
      <c r="F161" s="777"/>
      <c r="G161" s="1074"/>
      <c r="H161" s="1074"/>
      <c r="I161" s="1075" t="s">
        <v>280</v>
      </c>
      <c r="J161" s="927">
        <v>0.1</v>
      </c>
      <c r="K161" s="927" t="s">
        <v>281</v>
      </c>
      <c r="L161" s="722" t="s">
        <v>282</v>
      </c>
      <c r="M161" s="722" t="str">
        <f t="shared" ref="M161" si="92">CONCATENATE(U161,"/",U162)</f>
        <v>No. de autos de trámite que impulsan la propuesta de contrato de concesión y Autorizaciones Temporales vigentes/No. de autos de trámite que impulsan la propuesta de contrato de concesión y Autorizaciones Temporales programadas</v>
      </c>
      <c r="N161" s="722" t="s">
        <v>283</v>
      </c>
      <c r="O161" s="722" t="s">
        <v>89</v>
      </c>
      <c r="P161" s="732">
        <v>0.05</v>
      </c>
      <c r="Q161" s="993">
        <v>1</v>
      </c>
      <c r="R161" s="993">
        <v>1</v>
      </c>
      <c r="S161" s="993">
        <v>1</v>
      </c>
      <c r="T161" s="764" t="s">
        <v>151</v>
      </c>
      <c r="U161" s="222" t="s">
        <v>284</v>
      </c>
      <c r="V161" s="188"/>
      <c r="W161" s="188"/>
      <c r="X161" s="188"/>
      <c r="Y161" s="188"/>
      <c r="Z161" s="130"/>
      <c r="AA161" s="130"/>
      <c r="AB161" s="130"/>
      <c r="AC161" s="130"/>
      <c r="AD161" s="965"/>
      <c r="AE161" s="962"/>
      <c r="AF161" s="962"/>
      <c r="AG161" s="962"/>
      <c r="AH161" s="670"/>
      <c r="AI161" s="670"/>
      <c r="AJ161" s="669" t="s">
        <v>94</v>
      </c>
      <c r="AK161" s="669" t="s">
        <v>94</v>
      </c>
      <c r="AL161" s="669"/>
      <c r="AM161" s="669" t="s">
        <v>94</v>
      </c>
      <c r="AN161" s="669" t="s">
        <v>94</v>
      </c>
      <c r="AO161" s="669"/>
      <c r="AP161" s="669"/>
      <c r="AQ161" s="669" t="s">
        <v>94</v>
      </c>
      <c r="AR161" s="669"/>
      <c r="AS161" s="669"/>
      <c r="AT161" s="190" t="s">
        <v>129</v>
      </c>
      <c r="AU161" s="203">
        <f t="shared" ref="AU161:BB161" si="93">+V163*$J$161</f>
        <v>0</v>
      </c>
      <c r="AV161" s="203">
        <f t="shared" si="93"/>
        <v>0</v>
      </c>
      <c r="AW161" s="203">
        <f t="shared" si="93"/>
        <v>0</v>
      </c>
      <c r="AX161" s="203">
        <f t="shared" si="93"/>
        <v>0</v>
      </c>
      <c r="AY161" s="203">
        <f t="shared" si="93"/>
        <v>0</v>
      </c>
      <c r="AZ161" s="203">
        <f t="shared" si="93"/>
        <v>0</v>
      </c>
      <c r="BA161" s="203">
        <f t="shared" si="93"/>
        <v>0</v>
      </c>
      <c r="BB161" s="203">
        <f t="shared" si="93"/>
        <v>0</v>
      </c>
      <c r="BC161" s="579"/>
      <c r="BD161" s="582"/>
      <c r="BE161" s="191"/>
      <c r="BF161" s="192"/>
      <c r="BG161" s="193"/>
      <c r="BH161" s="193"/>
    </row>
    <row r="162" spans="1:60" s="120" customFormat="1" ht="39.950000000000003" customHeight="1" x14ac:dyDescent="0.25">
      <c r="A162" s="675"/>
      <c r="B162" s="664"/>
      <c r="C162" s="665"/>
      <c r="D162" s="1079"/>
      <c r="E162" s="879"/>
      <c r="F162" s="777"/>
      <c r="G162" s="1074"/>
      <c r="H162" s="1074"/>
      <c r="I162" s="1076"/>
      <c r="J162" s="928"/>
      <c r="K162" s="928"/>
      <c r="L162" s="723"/>
      <c r="M162" s="723"/>
      <c r="N162" s="723"/>
      <c r="O162" s="723"/>
      <c r="P162" s="732"/>
      <c r="Q162" s="994"/>
      <c r="R162" s="994"/>
      <c r="S162" s="994"/>
      <c r="T162" s="765"/>
      <c r="U162" s="218" t="s">
        <v>285</v>
      </c>
      <c r="V162" s="170">
        <v>501</v>
      </c>
      <c r="W162" s="170">
        <v>571</v>
      </c>
      <c r="X162" s="170">
        <v>571</v>
      </c>
      <c r="Y162" s="170">
        <v>572</v>
      </c>
      <c r="Z162" s="170">
        <f t="shared" ref="Z162" si="94">+V162</f>
        <v>501</v>
      </c>
      <c r="AA162" s="170">
        <f t="shared" ref="AA162" si="95">+V162+W162</f>
        <v>1072</v>
      </c>
      <c r="AB162" s="170">
        <f t="shared" ref="AB162" si="96">+V162+W162+X162</f>
        <v>1643</v>
      </c>
      <c r="AC162" s="170">
        <f t="shared" ref="AC162" si="97">+V162+W162+X162+Y162</f>
        <v>2215</v>
      </c>
      <c r="AD162" s="965"/>
      <c r="AE162" s="962"/>
      <c r="AF162" s="962"/>
      <c r="AG162" s="962"/>
      <c r="AH162" s="670"/>
      <c r="AI162" s="670"/>
      <c r="AJ162" s="670"/>
      <c r="AK162" s="670"/>
      <c r="AL162" s="670"/>
      <c r="AM162" s="670"/>
      <c r="AN162" s="670"/>
      <c r="AO162" s="670"/>
      <c r="AP162" s="670"/>
      <c r="AQ162" s="670"/>
      <c r="AR162" s="670"/>
      <c r="AS162" s="670"/>
      <c r="AT162" s="190" t="s">
        <v>131</v>
      </c>
      <c r="AU162" s="575"/>
      <c r="AV162" s="576"/>
      <c r="AW162" s="576"/>
      <c r="AX162" s="576"/>
      <c r="AY162" s="576"/>
      <c r="AZ162" s="576"/>
      <c r="BA162" s="576"/>
      <c r="BB162" s="577"/>
      <c r="BC162" s="579"/>
      <c r="BD162" s="582"/>
      <c r="BE162" s="191"/>
      <c r="BF162" s="192"/>
      <c r="BG162" s="193"/>
      <c r="BH162" s="193"/>
    </row>
    <row r="163" spans="1:60" s="120" customFormat="1" ht="24.95" customHeight="1" x14ac:dyDescent="0.25">
      <c r="A163" s="675"/>
      <c r="B163" s="664"/>
      <c r="C163" s="665"/>
      <c r="D163" s="1079"/>
      <c r="E163" s="879"/>
      <c r="F163" s="777"/>
      <c r="G163" s="1074"/>
      <c r="H163" s="1074"/>
      <c r="I163" s="1077"/>
      <c r="J163" s="929"/>
      <c r="K163" s="929"/>
      <c r="L163" s="724"/>
      <c r="M163" s="724"/>
      <c r="N163" s="724"/>
      <c r="O163" s="724"/>
      <c r="P163" s="732"/>
      <c r="Q163" s="995"/>
      <c r="R163" s="995"/>
      <c r="S163" s="995"/>
      <c r="T163" s="766"/>
      <c r="U163" s="170" t="s">
        <v>96</v>
      </c>
      <c r="V163" s="221">
        <f>IF((V161/V162)&lt;$I$8,(V161/V162),IF((V161/V162)&lt;$J$8,(V161/V162),IF((V161/V162)&lt;$J$9,(V161/V162),IF((V161/V162)&gt;=$J$9,$J$9))))</f>
        <v>0</v>
      </c>
      <c r="W163" s="221">
        <f t="shared" ref="W163:AC163" si="98">IF((W161/W162)&lt;$I$8,(W161/W162),IF((W161/W162)&lt;$J$8,(W161/W162),IF((W161/W162)&lt;$J$9,(W161/W162),IF((W161/W162)&gt;=$J$9,$J$9))))</f>
        <v>0</v>
      </c>
      <c r="X163" s="221">
        <f t="shared" si="98"/>
        <v>0</v>
      </c>
      <c r="Y163" s="221">
        <f t="shared" si="98"/>
        <v>0</v>
      </c>
      <c r="Z163" s="221">
        <f t="shared" si="98"/>
        <v>0</v>
      </c>
      <c r="AA163" s="221">
        <f t="shared" si="98"/>
        <v>0</v>
      </c>
      <c r="AB163" s="221">
        <f t="shared" si="98"/>
        <v>0</v>
      </c>
      <c r="AC163" s="221">
        <f t="shared" si="98"/>
        <v>0</v>
      </c>
      <c r="AD163" s="965"/>
      <c r="AE163" s="962"/>
      <c r="AF163" s="962"/>
      <c r="AG163" s="962"/>
      <c r="AH163" s="670"/>
      <c r="AI163" s="670"/>
      <c r="AJ163" s="671"/>
      <c r="AK163" s="671"/>
      <c r="AL163" s="671"/>
      <c r="AM163" s="671"/>
      <c r="AN163" s="671"/>
      <c r="AO163" s="671"/>
      <c r="AP163" s="671"/>
      <c r="AQ163" s="671"/>
      <c r="AR163" s="671"/>
      <c r="AS163" s="671"/>
      <c r="AT163" s="190" t="s">
        <v>132</v>
      </c>
      <c r="AU163" s="575"/>
      <c r="AV163" s="576"/>
      <c r="AW163" s="576"/>
      <c r="AX163" s="576"/>
      <c r="AY163" s="576"/>
      <c r="AZ163" s="576"/>
      <c r="BA163" s="576"/>
      <c r="BB163" s="577"/>
      <c r="BC163" s="579"/>
      <c r="BD163" s="582"/>
      <c r="BE163" s="191"/>
      <c r="BF163" s="192"/>
      <c r="BG163" s="193"/>
      <c r="BH163" s="193"/>
    </row>
    <row r="164" spans="1:60" s="120" customFormat="1" ht="35.1" customHeight="1" x14ac:dyDescent="0.25">
      <c r="A164" s="675"/>
      <c r="B164" s="664"/>
      <c r="C164" s="665">
        <v>4</v>
      </c>
      <c r="D164" s="1079"/>
      <c r="E164" s="879"/>
      <c r="F164" s="777"/>
      <c r="G164" s="1074"/>
      <c r="H164" s="1074"/>
      <c r="I164" s="1075" t="s">
        <v>286</v>
      </c>
      <c r="J164" s="927">
        <v>0.1</v>
      </c>
      <c r="K164" s="927" t="s">
        <v>287</v>
      </c>
      <c r="L164" s="722" t="s">
        <v>288</v>
      </c>
      <c r="M164" s="722" t="str">
        <f t="shared" ref="M164" si="99">CONCATENATE(U164,"/",U165)</f>
        <v>No. evaluaciones técnicas y juridicas realizadas/No. evaluaciones técnicas y juridicas programadas en el periodo</v>
      </c>
      <c r="N164" s="722" t="s">
        <v>289</v>
      </c>
      <c r="O164" s="722" t="s">
        <v>89</v>
      </c>
      <c r="P164" s="732">
        <v>0.03</v>
      </c>
      <c r="Q164" s="993">
        <v>1</v>
      </c>
      <c r="R164" s="993">
        <v>1</v>
      </c>
      <c r="S164" s="993">
        <v>1</v>
      </c>
      <c r="T164" s="764" t="s">
        <v>151</v>
      </c>
      <c r="U164" s="222" t="s">
        <v>290</v>
      </c>
      <c r="V164" s="188"/>
      <c r="W164" s="188"/>
      <c r="X164" s="188"/>
      <c r="Y164" s="188"/>
      <c r="Z164" s="130"/>
      <c r="AA164" s="130"/>
      <c r="AB164" s="130"/>
      <c r="AC164" s="130"/>
      <c r="AD164" s="965"/>
      <c r="AE164" s="962"/>
      <c r="AF164" s="962"/>
      <c r="AG164" s="962"/>
      <c r="AH164" s="670"/>
      <c r="AI164" s="670"/>
      <c r="AJ164" s="669" t="s">
        <v>94</v>
      </c>
      <c r="AK164" s="669" t="s">
        <v>94</v>
      </c>
      <c r="AL164" s="669"/>
      <c r="AM164" s="669" t="s">
        <v>94</v>
      </c>
      <c r="AN164" s="669" t="s">
        <v>94</v>
      </c>
      <c r="AO164" s="669"/>
      <c r="AP164" s="669"/>
      <c r="AQ164" s="669" t="s">
        <v>94</v>
      </c>
      <c r="AR164" s="669"/>
      <c r="AS164" s="669"/>
      <c r="AT164" s="190" t="s">
        <v>129</v>
      </c>
      <c r="AU164" s="203">
        <f t="shared" ref="AU164:BB164" si="100">+V166*$J$164</f>
        <v>0</v>
      </c>
      <c r="AV164" s="203">
        <f t="shared" si="100"/>
        <v>0</v>
      </c>
      <c r="AW164" s="203">
        <f t="shared" si="100"/>
        <v>0</v>
      </c>
      <c r="AX164" s="203">
        <f t="shared" si="100"/>
        <v>0</v>
      </c>
      <c r="AY164" s="203">
        <f t="shared" si="100"/>
        <v>0</v>
      </c>
      <c r="AZ164" s="203">
        <f t="shared" si="100"/>
        <v>0</v>
      </c>
      <c r="BA164" s="203">
        <f t="shared" si="100"/>
        <v>0</v>
      </c>
      <c r="BB164" s="203">
        <f t="shared" si="100"/>
        <v>0</v>
      </c>
      <c r="BC164" s="579"/>
      <c r="BD164" s="582"/>
      <c r="BE164" s="191"/>
      <c r="BF164" s="192"/>
      <c r="BG164" s="193"/>
      <c r="BH164" s="193"/>
    </row>
    <row r="165" spans="1:60" s="120" customFormat="1" ht="35.1" customHeight="1" x14ac:dyDescent="0.25">
      <c r="A165" s="675"/>
      <c r="B165" s="664"/>
      <c r="C165" s="665"/>
      <c r="D165" s="1079"/>
      <c r="E165" s="879"/>
      <c r="F165" s="777"/>
      <c r="G165" s="1074"/>
      <c r="H165" s="1074"/>
      <c r="I165" s="1076"/>
      <c r="J165" s="928"/>
      <c r="K165" s="928"/>
      <c r="L165" s="723"/>
      <c r="M165" s="723"/>
      <c r="N165" s="723"/>
      <c r="O165" s="723"/>
      <c r="P165" s="732"/>
      <c r="Q165" s="994"/>
      <c r="R165" s="994"/>
      <c r="S165" s="994"/>
      <c r="T165" s="765"/>
      <c r="U165" s="218" t="s">
        <v>291</v>
      </c>
      <c r="V165" s="170">
        <v>760</v>
      </c>
      <c r="W165" s="170">
        <v>1030</v>
      </c>
      <c r="X165" s="170">
        <v>1029</v>
      </c>
      <c r="Y165" s="170">
        <v>1029</v>
      </c>
      <c r="Z165" s="170">
        <f t="shared" ref="Z165" si="101">+V165</f>
        <v>760</v>
      </c>
      <c r="AA165" s="170">
        <f t="shared" ref="AA165" si="102">+V165+W165</f>
        <v>1790</v>
      </c>
      <c r="AB165" s="170">
        <f t="shared" ref="AB165" si="103">+V165+W165+X165</f>
        <v>2819</v>
      </c>
      <c r="AC165" s="170">
        <f t="shared" ref="AC165" si="104">+V165+W165+X165+Y165</f>
        <v>3848</v>
      </c>
      <c r="AD165" s="965"/>
      <c r="AE165" s="962"/>
      <c r="AF165" s="962"/>
      <c r="AG165" s="962"/>
      <c r="AH165" s="670"/>
      <c r="AI165" s="670"/>
      <c r="AJ165" s="670"/>
      <c r="AK165" s="670"/>
      <c r="AL165" s="670"/>
      <c r="AM165" s="670"/>
      <c r="AN165" s="670"/>
      <c r="AO165" s="670"/>
      <c r="AP165" s="670"/>
      <c r="AQ165" s="670"/>
      <c r="AR165" s="670"/>
      <c r="AS165" s="670"/>
      <c r="AT165" s="190" t="s">
        <v>131</v>
      </c>
      <c r="AU165" s="575"/>
      <c r="AV165" s="576"/>
      <c r="AW165" s="576"/>
      <c r="AX165" s="576"/>
      <c r="AY165" s="576"/>
      <c r="AZ165" s="576"/>
      <c r="BA165" s="576"/>
      <c r="BB165" s="577"/>
      <c r="BC165" s="579"/>
      <c r="BD165" s="582"/>
      <c r="BE165" s="191"/>
      <c r="BF165" s="192"/>
      <c r="BG165" s="193"/>
      <c r="BH165" s="193"/>
    </row>
    <row r="166" spans="1:60" s="120" customFormat="1" ht="24.95" customHeight="1" x14ac:dyDescent="0.25">
      <c r="A166" s="675"/>
      <c r="B166" s="664"/>
      <c r="C166" s="665"/>
      <c r="D166" s="1079"/>
      <c r="E166" s="879"/>
      <c r="F166" s="777"/>
      <c r="G166" s="1074"/>
      <c r="H166" s="1074"/>
      <c r="I166" s="1077"/>
      <c r="J166" s="929"/>
      <c r="K166" s="929"/>
      <c r="L166" s="724"/>
      <c r="M166" s="724"/>
      <c r="N166" s="724"/>
      <c r="O166" s="724"/>
      <c r="P166" s="732"/>
      <c r="Q166" s="995"/>
      <c r="R166" s="995"/>
      <c r="S166" s="995"/>
      <c r="T166" s="766"/>
      <c r="U166" s="170" t="s">
        <v>96</v>
      </c>
      <c r="V166" s="221">
        <f>IF((V164/V165)&lt;$I$8,(V164/V165),IF((V164/V165)&lt;$J$8,(V164/V165),IF((V164/V165)&lt;$J$9,(V164/V165),IF((V164/V165)&gt;=$J$9,$J$9))))</f>
        <v>0</v>
      </c>
      <c r="W166" s="221">
        <f t="shared" ref="W166:AC166" si="105">IF((W164/W165)&lt;$I$8,(W164/W165),IF((W164/W165)&lt;$J$8,(W164/W165),IF((W164/W165)&lt;$J$9,(W164/W165),IF((W164/W165)&gt;=$J$9,$J$9))))</f>
        <v>0</v>
      </c>
      <c r="X166" s="221">
        <f t="shared" si="105"/>
        <v>0</v>
      </c>
      <c r="Y166" s="221">
        <f t="shared" si="105"/>
        <v>0</v>
      </c>
      <c r="Z166" s="221">
        <f t="shared" si="105"/>
        <v>0</v>
      </c>
      <c r="AA166" s="221">
        <f t="shared" si="105"/>
        <v>0</v>
      </c>
      <c r="AB166" s="221">
        <f t="shared" si="105"/>
        <v>0</v>
      </c>
      <c r="AC166" s="221">
        <f t="shared" si="105"/>
        <v>0</v>
      </c>
      <c r="AD166" s="965"/>
      <c r="AE166" s="962"/>
      <c r="AF166" s="962"/>
      <c r="AG166" s="962"/>
      <c r="AH166" s="670"/>
      <c r="AI166" s="670"/>
      <c r="AJ166" s="671"/>
      <c r="AK166" s="671"/>
      <c r="AL166" s="671"/>
      <c r="AM166" s="671"/>
      <c r="AN166" s="671"/>
      <c r="AO166" s="671"/>
      <c r="AP166" s="671"/>
      <c r="AQ166" s="671"/>
      <c r="AR166" s="671"/>
      <c r="AS166" s="671"/>
      <c r="AT166" s="190" t="s">
        <v>132</v>
      </c>
      <c r="AU166" s="575"/>
      <c r="AV166" s="576"/>
      <c r="AW166" s="576"/>
      <c r="AX166" s="576"/>
      <c r="AY166" s="576"/>
      <c r="AZ166" s="576"/>
      <c r="BA166" s="576"/>
      <c r="BB166" s="577"/>
      <c r="BC166" s="579"/>
      <c r="BD166" s="582"/>
      <c r="BE166" s="191"/>
      <c r="BF166" s="192"/>
      <c r="BG166" s="193"/>
      <c r="BH166" s="193"/>
    </row>
    <row r="167" spans="1:60" s="120" customFormat="1" ht="35.1" customHeight="1" x14ac:dyDescent="0.25">
      <c r="A167" s="675"/>
      <c r="B167" s="664"/>
      <c r="C167" s="665">
        <v>5</v>
      </c>
      <c r="D167" s="1079"/>
      <c r="E167" s="879"/>
      <c r="F167" s="777"/>
      <c r="G167" s="1074"/>
      <c r="H167" s="1074"/>
      <c r="I167" s="1075" t="s">
        <v>292</v>
      </c>
      <c r="J167" s="927">
        <v>0.35</v>
      </c>
      <c r="K167" s="927" t="s">
        <v>293</v>
      </c>
      <c r="L167" s="722" t="s">
        <v>294</v>
      </c>
      <c r="M167" s="722" t="str">
        <f t="shared" ref="M167" si="106">CONCATENATE(U167,"/",U168)</f>
        <v>No. de contratos otrogadas/Total de minutas de contrato programadas para el periodo</v>
      </c>
      <c r="N167" s="722" t="s">
        <v>295</v>
      </c>
      <c r="O167" s="722" t="s">
        <v>89</v>
      </c>
      <c r="P167" s="761">
        <v>0.03</v>
      </c>
      <c r="Q167" s="993">
        <v>1</v>
      </c>
      <c r="R167" s="993">
        <v>1</v>
      </c>
      <c r="S167" s="993">
        <v>1</v>
      </c>
      <c r="T167" s="764" t="s">
        <v>151</v>
      </c>
      <c r="U167" s="223" t="s">
        <v>296</v>
      </c>
      <c r="V167" s="188"/>
      <c r="W167" s="188"/>
      <c r="X167" s="188"/>
      <c r="Y167" s="188"/>
      <c r="Z167" s="130"/>
      <c r="AA167" s="130"/>
      <c r="AB167" s="130"/>
      <c r="AC167" s="130"/>
      <c r="AD167" s="965"/>
      <c r="AE167" s="962"/>
      <c r="AF167" s="962"/>
      <c r="AG167" s="962"/>
      <c r="AH167" s="670"/>
      <c r="AI167" s="670"/>
      <c r="AJ167" s="669" t="s">
        <v>94</v>
      </c>
      <c r="AK167" s="669" t="s">
        <v>94</v>
      </c>
      <c r="AL167" s="669"/>
      <c r="AM167" s="669" t="s">
        <v>94</v>
      </c>
      <c r="AN167" s="669"/>
      <c r="AO167" s="669" t="s">
        <v>94</v>
      </c>
      <c r="AP167" s="669"/>
      <c r="AQ167" s="669"/>
      <c r="AR167" s="669"/>
      <c r="AS167" s="669" t="s">
        <v>94</v>
      </c>
      <c r="AT167" s="190" t="s">
        <v>129</v>
      </c>
      <c r="AU167" s="203">
        <f t="shared" ref="AU167:BB167" si="107">+V169*$J$167</f>
        <v>0</v>
      </c>
      <c r="AV167" s="203">
        <f t="shared" si="107"/>
        <v>0</v>
      </c>
      <c r="AW167" s="203">
        <f t="shared" si="107"/>
        <v>0</v>
      </c>
      <c r="AX167" s="203">
        <f t="shared" si="107"/>
        <v>0</v>
      </c>
      <c r="AY167" s="203">
        <f t="shared" si="107"/>
        <v>0</v>
      </c>
      <c r="AZ167" s="203">
        <f t="shared" si="107"/>
        <v>0</v>
      </c>
      <c r="BA167" s="203">
        <f t="shared" si="107"/>
        <v>0</v>
      </c>
      <c r="BB167" s="203">
        <f t="shared" si="107"/>
        <v>0</v>
      </c>
      <c r="BC167" s="579"/>
      <c r="BD167" s="582"/>
      <c r="BE167" s="191"/>
      <c r="BF167" s="192"/>
      <c r="BG167" s="193"/>
      <c r="BH167" s="193"/>
    </row>
    <row r="168" spans="1:60" s="120" customFormat="1" ht="35.1" customHeight="1" x14ac:dyDescent="0.25">
      <c r="A168" s="675"/>
      <c r="B168" s="664"/>
      <c r="C168" s="665"/>
      <c r="D168" s="1079"/>
      <c r="E168" s="879"/>
      <c r="F168" s="777"/>
      <c r="G168" s="1074"/>
      <c r="H168" s="1074"/>
      <c r="I168" s="1076"/>
      <c r="J168" s="928"/>
      <c r="K168" s="928"/>
      <c r="L168" s="723"/>
      <c r="M168" s="723"/>
      <c r="N168" s="723"/>
      <c r="O168" s="723"/>
      <c r="P168" s="762"/>
      <c r="Q168" s="994"/>
      <c r="R168" s="994"/>
      <c r="S168" s="994"/>
      <c r="T168" s="765"/>
      <c r="U168" s="224" t="s">
        <v>297</v>
      </c>
      <c r="V168" s="170">
        <v>57</v>
      </c>
      <c r="W168" s="170">
        <v>69</v>
      </c>
      <c r="X168" s="170">
        <v>69</v>
      </c>
      <c r="Y168" s="170">
        <v>69</v>
      </c>
      <c r="Z168" s="170">
        <f t="shared" ref="Z168" si="108">+V168</f>
        <v>57</v>
      </c>
      <c r="AA168" s="170">
        <f t="shared" ref="AA168" si="109">+V168+W168</f>
        <v>126</v>
      </c>
      <c r="AB168" s="170">
        <f t="shared" ref="AB168" si="110">+V168+W168+X168</f>
        <v>195</v>
      </c>
      <c r="AC168" s="170">
        <f t="shared" ref="AC168" si="111">+V168+W168+X168+Y168</f>
        <v>264</v>
      </c>
      <c r="AD168" s="965"/>
      <c r="AE168" s="962"/>
      <c r="AF168" s="962"/>
      <c r="AG168" s="962"/>
      <c r="AH168" s="670"/>
      <c r="AI168" s="670"/>
      <c r="AJ168" s="670"/>
      <c r="AK168" s="670"/>
      <c r="AL168" s="670"/>
      <c r="AM168" s="670"/>
      <c r="AN168" s="670"/>
      <c r="AO168" s="670"/>
      <c r="AP168" s="670"/>
      <c r="AQ168" s="670"/>
      <c r="AR168" s="670"/>
      <c r="AS168" s="670"/>
      <c r="AT168" s="190" t="s">
        <v>131</v>
      </c>
      <c r="AU168" s="575"/>
      <c r="AV168" s="576"/>
      <c r="AW168" s="576"/>
      <c r="AX168" s="576"/>
      <c r="AY168" s="576"/>
      <c r="AZ168" s="576"/>
      <c r="BA168" s="576"/>
      <c r="BB168" s="577"/>
      <c r="BC168" s="579"/>
      <c r="BD168" s="582"/>
      <c r="BE168" s="191"/>
      <c r="BF168" s="192"/>
      <c r="BG168" s="193"/>
      <c r="BH168" s="193"/>
    </row>
    <row r="169" spans="1:60" s="120" customFormat="1" ht="24.95" customHeight="1" x14ac:dyDescent="0.25">
      <c r="A169" s="675"/>
      <c r="B169" s="664"/>
      <c r="C169" s="665"/>
      <c r="D169" s="1079"/>
      <c r="E169" s="879"/>
      <c r="F169" s="777"/>
      <c r="G169" s="1074"/>
      <c r="H169" s="1074"/>
      <c r="I169" s="1077"/>
      <c r="J169" s="929"/>
      <c r="K169" s="929"/>
      <c r="L169" s="724"/>
      <c r="M169" s="724"/>
      <c r="N169" s="724"/>
      <c r="O169" s="724"/>
      <c r="P169" s="762"/>
      <c r="Q169" s="994"/>
      <c r="R169" s="994"/>
      <c r="S169" s="994"/>
      <c r="T169" s="766"/>
      <c r="U169" s="170" t="s">
        <v>96</v>
      </c>
      <c r="V169" s="221">
        <f>IF((V167/V168)&lt;$I$8,(V167/V168),IF((V167/V168)&lt;$J$8,(V167/V168),IF((V167/V168)&lt;$J$9,(V167/V168),IF((V167/V168)&gt;=$J$9,$J$9))))</f>
        <v>0</v>
      </c>
      <c r="W169" s="221">
        <f t="shared" ref="W169:AC169" si="112">IF((W167/W168)&lt;$I$8,(W167/W168),IF((W167/W168)&lt;$J$8,(W167/W168),IF((W167/W168)&lt;$J$9,(W167/W168),IF((W167/W168)&gt;=$J$9,$J$9))))</f>
        <v>0</v>
      </c>
      <c r="X169" s="221">
        <f t="shared" si="112"/>
        <v>0</v>
      </c>
      <c r="Y169" s="221">
        <f t="shared" si="112"/>
        <v>0</v>
      </c>
      <c r="Z169" s="221">
        <f t="shared" si="112"/>
        <v>0</v>
      </c>
      <c r="AA169" s="221">
        <f t="shared" si="112"/>
        <v>0</v>
      </c>
      <c r="AB169" s="221">
        <f t="shared" si="112"/>
        <v>0</v>
      </c>
      <c r="AC169" s="221">
        <f t="shared" si="112"/>
        <v>0</v>
      </c>
      <c r="AD169" s="966"/>
      <c r="AE169" s="963"/>
      <c r="AF169" s="963"/>
      <c r="AG169" s="963"/>
      <c r="AH169" s="671"/>
      <c r="AI169" s="671"/>
      <c r="AJ169" s="671"/>
      <c r="AK169" s="671"/>
      <c r="AL169" s="671"/>
      <c r="AM169" s="671"/>
      <c r="AN169" s="671"/>
      <c r="AO169" s="671"/>
      <c r="AP169" s="671"/>
      <c r="AQ169" s="671"/>
      <c r="AR169" s="671"/>
      <c r="AS169" s="671"/>
      <c r="AT169" s="190" t="s">
        <v>132</v>
      </c>
      <c r="AU169" s="575"/>
      <c r="AV169" s="576"/>
      <c r="AW169" s="576"/>
      <c r="AX169" s="576"/>
      <c r="AY169" s="576"/>
      <c r="AZ169" s="576"/>
      <c r="BA169" s="576"/>
      <c r="BB169" s="577"/>
      <c r="BC169" s="579"/>
      <c r="BD169" s="582"/>
      <c r="BE169" s="191"/>
      <c r="BF169" s="192"/>
      <c r="BG169" s="193"/>
      <c r="BH169" s="193"/>
    </row>
    <row r="170" spans="1:60" s="120" customFormat="1" ht="96.95" customHeight="1" x14ac:dyDescent="0.25">
      <c r="A170" s="675"/>
      <c r="B170" s="664"/>
      <c r="C170" s="665">
        <v>6</v>
      </c>
      <c r="D170" s="1079"/>
      <c r="E170" s="879"/>
      <c r="F170" s="777"/>
      <c r="G170" s="1074" t="s">
        <v>298</v>
      </c>
      <c r="H170" s="1074">
        <v>0.4</v>
      </c>
      <c r="I170" s="804" t="s">
        <v>299</v>
      </c>
      <c r="J170" s="925">
        <v>0.2</v>
      </c>
      <c r="K170" s="927" t="s">
        <v>300</v>
      </c>
      <c r="L170" s="722" t="s">
        <v>301</v>
      </c>
      <c r="M170" s="722" t="str">
        <f>CONCATENATE(U170,"/",U171)</f>
        <v>No. evaluaciones técnicas y juridicas realizadas a solicitudes de legalización minera y subcontratos de formalización/No. evaluaciones técnicas y juridicas programadas a solicitudes de legalización minera y subcontratos de formalización</v>
      </c>
      <c r="N170" s="722" t="s">
        <v>289</v>
      </c>
      <c r="O170" s="954" t="s">
        <v>89</v>
      </c>
      <c r="P170" s="732">
        <v>0.03</v>
      </c>
      <c r="Q170" s="957">
        <v>1</v>
      </c>
      <c r="R170" s="957">
        <v>1</v>
      </c>
      <c r="S170" s="957">
        <v>1</v>
      </c>
      <c r="T170" s="958" t="s">
        <v>151</v>
      </c>
      <c r="U170" s="223" t="s">
        <v>302</v>
      </c>
      <c r="V170" s="188"/>
      <c r="W170" s="188"/>
      <c r="X170" s="188"/>
      <c r="Y170" s="188"/>
      <c r="Z170" s="130"/>
      <c r="AA170" s="130"/>
      <c r="AB170" s="130"/>
      <c r="AC170" s="130"/>
      <c r="AD170" s="964">
        <f>+AE170+AF170+AG170</f>
        <v>146300000</v>
      </c>
      <c r="AE170" s="961">
        <v>0</v>
      </c>
      <c r="AF170" s="961">
        <v>146300000</v>
      </c>
      <c r="AG170" s="961">
        <v>0</v>
      </c>
      <c r="AH170" s="669" t="s">
        <v>303</v>
      </c>
      <c r="AI170" s="669" t="s">
        <v>304</v>
      </c>
      <c r="AJ170" s="669" t="s">
        <v>94</v>
      </c>
      <c r="AK170" s="669" t="s">
        <v>94</v>
      </c>
      <c r="AL170" s="669"/>
      <c r="AM170" s="669" t="s">
        <v>94</v>
      </c>
      <c r="AN170" s="669" t="s">
        <v>94</v>
      </c>
      <c r="AO170" s="669"/>
      <c r="AP170" s="669"/>
      <c r="AQ170" s="669" t="s">
        <v>94</v>
      </c>
      <c r="AR170" s="669"/>
      <c r="AS170" s="669"/>
      <c r="AT170" s="190" t="s">
        <v>129</v>
      </c>
      <c r="AU170" s="203">
        <f t="shared" ref="AU170:BB170" si="113">+V172*$J$170</f>
        <v>0</v>
      </c>
      <c r="AV170" s="203">
        <f t="shared" si="113"/>
        <v>0</v>
      </c>
      <c r="AW170" s="203">
        <f t="shared" si="113"/>
        <v>0</v>
      </c>
      <c r="AX170" s="203">
        <f t="shared" si="113"/>
        <v>0</v>
      </c>
      <c r="AY170" s="203">
        <f t="shared" si="113"/>
        <v>0</v>
      </c>
      <c r="AZ170" s="203">
        <f t="shared" si="113"/>
        <v>0</v>
      </c>
      <c r="BA170" s="203">
        <f t="shared" si="113"/>
        <v>0</v>
      </c>
      <c r="BB170" s="203">
        <f t="shared" si="113"/>
        <v>0</v>
      </c>
      <c r="BC170" s="579"/>
      <c r="BD170" s="582"/>
      <c r="BE170" s="191"/>
      <c r="BF170" s="192"/>
      <c r="BG170" s="193"/>
      <c r="BH170" s="193"/>
    </row>
    <row r="171" spans="1:60" s="120" customFormat="1" ht="96.95" customHeight="1" x14ac:dyDescent="0.25">
      <c r="A171" s="675"/>
      <c r="B171" s="664"/>
      <c r="C171" s="665"/>
      <c r="D171" s="1079"/>
      <c r="E171" s="879"/>
      <c r="F171" s="777"/>
      <c r="G171" s="1074"/>
      <c r="H171" s="1074"/>
      <c r="I171" s="804"/>
      <c r="J171" s="925"/>
      <c r="K171" s="928"/>
      <c r="L171" s="723"/>
      <c r="M171" s="723"/>
      <c r="N171" s="723"/>
      <c r="O171" s="955"/>
      <c r="P171" s="732"/>
      <c r="Q171" s="957"/>
      <c r="R171" s="957"/>
      <c r="S171" s="957"/>
      <c r="T171" s="959"/>
      <c r="U171" s="224" t="s">
        <v>305</v>
      </c>
      <c r="V171" s="170">
        <v>50</v>
      </c>
      <c r="W171" s="170">
        <v>100</v>
      </c>
      <c r="X171" s="170">
        <v>100</v>
      </c>
      <c r="Y171" s="170">
        <v>100</v>
      </c>
      <c r="Z171" s="170">
        <f t="shared" ref="Z171" si="114">+V171</f>
        <v>50</v>
      </c>
      <c r="AA171" s="170">
        <f t="shared" ref="AA171" si="115">+V171+W171</f>
        <v>150</v>
      </c>
      <c r="AB171" s="170">
        <f t="shared" ref="AB171" si="116">+V171+W171+X171</f>
        <v>250</v>
      </c>
      <c r="AC171" s="170">
        <f t="shared" ref="AC171" si="117">+V171+W171+X171+Y171</f>
        <v>350</v>
      </c>
      <c r="AD171" s="965"/>
      <c r="AE171" s="962"/>
      <c r="AF171" s="962"/>
      <c r="AG171" s="962"/>
      <c r="AH171" s="670"/>
      <c r="AI171" s="670"/>
      <c r="AJ171" s="670"/>
      <c r="AK171" s="670"/>
      <c r="AL171" s="670"/>
      <c r="AM171" s="670"/>
      <c r="AN171" s="670"/>
      <c r="AO171" s="670"/>
      <c r="AP171" s="670"/>
      <c r="AQ171" s="670"/>
      <c r="AR171" s="670"/>
      <c r="AS171" s="670"/>
      <c r="AT171" s="190" t="s">
        <v>131</v>
      </c>
      <c r="AU171" s="203">
        <f>+(AU170+AU173+AU176+AU179+AU182)*$H$170</f>
        <v>0</v>
      </c>
      <c r="AV171" s="203">
        <f t="shared" ref="AV171:BB171" si="118">+(AV170+AV173+AV176+AV179+AV182)*$H$170</f>
        <v>0</v>
      </c>
      <c r="AW171" s="203">
        <f t="shared" si="118"/>
        <v>0</v>
      </c>
      <c r="AX171" s="203">
        <f t="shared" si="118"/>
        <v>0</v>
      </c>
      <c r="AY171" s="203">
        <f t="shared" si="118"/>
        <v>0</v>
      </c>
      <c r="AZ171" s="203">
        <f t="shared" si="118"/>
        <v>0</v>
      </c>
      <c r="BA171" s="203">
        <f t="shared" si="118"/>
        <v>0</v>
      </c>
      <c r="BB171" s="203">
        <f t="shared" si="118"/>
        <v>0</v>
      </c>
      <c r="BC171" s="579"/>
      <c r="BD171" s="582"/>
      <c r="BE171" s="191"/>
      <c r="BF171" s="192"/>
      <c r="BG171" s="193"/>
      <c r="BH171" s="193"/>
    </row>
    <row r="172" spans="1:60" s="120" customFormat="1" ht="24.95" customHeight="1" x14ac:dyDescent="0.25">
      <c r="A172" s="675"/>
      <c r="B172" s="664"/>
      <c r="C172" s="665"/>
      <c r="D172" s="1079"/>
      <c r="E172" s="879"/>
      <c r="F172" s="777"/>
      <c r="G172" s="1074"/>
      <c r="H172" s="1074"/>
      <c r="I172" s="804"/>
      <c r="J172" s="925"/>
      <c r="K172" s="929"/>
      <c r="L172" s="724"/>
      <c r="M172" s="724"/>
      <c r="N172" s="724"/>
      <c r="O172" s="956"/>
      <c r="P172" s="732"/>
      <c r="Q172" s="957"/>
      <c r="R172" s="957"/>
      <c r="S172" s="957"/>
      <c r="T172" s="960"/>
      <c r="U172" s="170" t="s">
        <v>96</v>
      </c>
      <c r="V172" s="221">
        <f>IF((V170/V171)&lt;$I$8,(V170/V171),IF((V170/V171)&lt;$J$8,(V170/V171),IF((V170/V171)&lt;$J$9,(V170/V171),IF((V170/V171)&gt;=$J$9,$J$9))))</f>
        <v>0</v>
      </c>
      <c r="W172" s="221">
        <f t="shared" ref="W172:AC172" si="119">IF((W170/W171)&lt;$I$8,(W170/W171),IF((W170/W171)&lt;$J$8,(W170/W171),IF((W170/W171)&lt;$J$9,(W170/W171),IF((W170/W171)&gt;=$J$9,$J$9))))</f>
        <v>0</v>
      </c>
      <c r="X172" s="221">
        <f t="shared" si="119"/>
        <v>0</v>
      </c>
      <c r="Y172" s="221">
        <f t="shared" si="119"/>
        <v>0</v>
      </c>
      <c r="Z172" s="221">
        <f t="shared" si="119"/>
        <v>0</v>
      </c>
      <c r="AA172" s="221">
        <f t="shared" si="119"/>
        <v>0</v>
      </c>
      <c r="AB172" s="221">
        <f t="shared" si="119"/>
        <v>0</v>
      </c>
      <c r="AC172" s="221">
        <f t="shared" si="119"/>
        <v>0</v>
      </c>
      <c r="AD172" s="965"/>
      <c r="AE172" s="962"/>
      <c r="AF172" s="962"/>
      <c r="AG172" s="962"/>
      <c r="AH172" s="670"/>
      <c r="AI172" s="670"/>
      <c r="AJ172" s="671"/>
      <c r="AK172" s="671"/>
      <c r="AL172" s="671"/>
      <c r="AM172" s="671"/>
      <c r="AN172" s="671"/>
      <c r="AO172" s="671"/>
      <c r="AP172" s="671"/>
      <c r="AQ172" s="671"/>
      <c r="AR172" s="671"/>
      <c r="AS172" s="671"/>
      <c r="AT172" s="190" t="s">
        <v>132</v>
      </c>
      <c r="AU172" s="575"/>
      <c r="AV172" s="576"/>
      <c r="AW172" s="576"/>
      <c r="AX172" s="576"/>
      <c r="AY172" s="576"/>
      <c r="AZ172" s="576"/>
      <c r="BA172" s="576"/>
      <c r="BB172" s="577"/>
      <c r="BC172" s="579"/>
      <c r="BD172" s="582"/>
      <c r="BE172" s="191"/>
      <c r="BF172" s="192"/>
      <c r="BG172" s="193"/>
      <c r="BH172" s="193"/>
    </row>
    <row r="173" spans="1:60" s="120" customFormat="1" ht="96.95" customHeight="1" x14ac:dyDescent="0.25">
      <c r="A173" s="675"/>
      <c r="B173" s="664"/>
      <c r="C173" s="665">
        <v>7</v>
      </c>
      <c r="D173" s="1079"/>
      <c r="E173" s="879"/>
      <c r="F173" s="777"/>
      <c r="G173" s="1074"/>
      <c r="H173" s="1074"/>
      <c r="I173" s="804" t="s">
        <v>306</v>
      </c>
      <c r="J173" s="925">
        <v>0.4</v>
      </c>
      <c r="K173" s="927" t="s">
        <v>307</v>
      </c>
      <c r="L173" s="722" t="s">
        <v>308</v>
      </c>
      <c r="M173" s="722" t="str">
        <f>CONCATENATE(U173,"/",U174)</f>
        <v>No. actos autos proyectados en los trámites de solicitudes de legalización minera  y subcontratos de formalización/Total de autos programados a realizar durante el periodo</v>
      </c>
      <c r="N173" s="722" t="s">
        <v>283</v>
      </c>
      <c r="O173" s="954" t="s">
        <v>89</v>
      </c>
      <c r="P173" s="732">
        <v>0.03</v>
      </c>
      <c r="Q173" s="957">
        <v>1</v>
      </c>
      <c r="R173" s="957">
        <v>1</v>
      </c>
      <c r="S173" s="957">
        <v>1</v>
      </c>
      <c r="T173" s="958" t="s">
        <v>151</v>
      </c>
      <c r="U173" s="223" t="s">
        <v>309</v>
      </c>
      <c r="V173" s="188"/>
      <c r="W173" s="188"/>
      <c r="X173" s="188"/>
      <c r="Y173" s="188"/>
      <c r="Z173" s="130"/>
      <c r="AA173" s="130"/>
      <c r="AB173" s="130"/>
      <c r="AC173" s="130"/>
      <c r="AD173" s="965"/>
      <c r="AE173" s="962"/>
      <c r="AF173" s="962"/>
      <c r="AG173" s="962"/>
      <c r="AH173" s="670"/>
      <c r="AI173" s="670"/>
      <c r="AJ173" s="669" t="s">
        <v>94</v>
      </c>
      <c r="AK173" s="669" t="s">
        <v>94</v>
      </c>
      <c r="AL173" s="669"/>
      <c r="AM173" s="669" t="s">
        <v>94</v>
      </c>
      <c r="AN173" s="669" t="s">
        <v>94</v>
      </c>
      <c r="AO173" s="669"/>
      <c r="AP173" s="669"/>
      <c r="AQ173" s="669" t="s">
        <v>94</v>
      </c>
      <c r="AR173" s="669"/>
      <c r="AS173" s="669"/>
      <c r="AT173" s="190" t="s">
        <v>129</v>
      </c>
      <c r="AU173" s="203">
        <f t="shared" ref="AU173:BB173" si="120">+V175*$J$173</f>
        <v>0</v>
      </c>
      <c r="AV173" s="203">
        <f t="shared" si="120"/>
        <v>0</v>
      </c>
      <c r="AW173" s="203">
        <f t="shared" si="120"/>
        <v>0</v>
      </c>
      <c r="AX173" s="203">
        <f t="shared" si="120"/>
        <v>0</v>
      </c>
      <c r="AY173" s="203">
        <f t="shared" si="120"/>
        <v>0</v>
      </c>
      <c r="AZ173" s="203">
        <f t="shared" si="120"/>
        <v>0</v>
      </c>
      <c r="BA173" s="203">
        <f t="shared" si="120"/>
        <v>0</v>
      </c>
      <c r="BB173" s="203">
        <f t="shared" si="120"/>
        <v>0</v>
      </c>
      <c r="BC173" s="579"/>
      <c r="BD173" s="582"/>
      <c r="BE173" s="191"/>
      <c r="BF173" s="192"/>
      <c r="BG173" s="193"/>
      <c r="BH173" s="193"/>
    </row>
    <row r="174" spans="1:60" s="120" customFormat="1" ht="96.95" customHeight="1" x14ac:dyDescent="0.25">
      <c r="A174" s="675"/>
      <c r="B174" s="664"/>
      <c r="C174" s="665"/>
      <c r="D174" s="1079"/>
      <c r="E174" s="879"/>
      <c r="F174" s="777"/>
      <c r="G174" s="1074"/>
      <c r="H174" s="1074"/>
      <c r="I174" s="804"/>
      <c r="J174" s="925"/>
      <c r="K174" s="928"/>
      <c r="L174" s="723"/>
      <c r="M174" s="723"/>
      <c r="N174" s="723"/>
      <c r="O174" s="955"/>
      <c r="P174" s="732"/>
      <c r="Q174" s="957"/>
      <c r="R174" s="957"/>
      <c r="S174" s="957"/>
      <c r="T174" s="959"/>
      <c r="U174" s="218" t="s">
        <v>310</v>
      </c>
      <c r="V174" s="170">
        <v>15</v>
      </c>
      <c r="W174" s="170">
        <v>40</v>
      </c>
      <c r="X174" s="170">
        <v>40</v>
      </c>
      <c r="Y174" s="170">
        <v>40</v>
      </c>
      <c r="Z174" s="170">
        <f t="shared" ref="Z174" si="121">+V174</f>
        <v>15</v>
      </c>
      <c r="AA174" s="170">
        <f t="shared" ref="AA174" si="122">+V174+W174</f>
        <v>55</v>
      </c>
      <c r="AB174" s="170">
        <f t="shared" ref="AB174" si="123">+V174+W174+X174</f>
        <v>95</v>
      </c>
      <c r="AC174" s="170">
        <f t="shared" ref="AC174" si="124">+V174+W174+X174+Y174</f>
        <v>135</v>
      </c>
      <c r="AD174" s="965"/>
      <c r="AE174" s="962"/>
      <c r="AF174" s="962"/>
      <c r="AG174" s="962"/>
      <c r="AH174" s="670"/>
      <c r="AI174" s="670"/>
      <c r="AJ174" s="670"/>
      <c r="AK174" s="670"/>
      <c r="AL174" s="670"/>
      <c r="AM174" s="670"/>
      <c r="AN174" s="670"/>
      <c r="AO174" s="670"/>
      <c r="AP174" s="670"/>
      <c r="AQ174" s="670"/>
      <c r="AR174" s="670"/>
      <c r="AS174" s="670"/>
      <c r="AT174" s="190" t="s">
        <v>131</v>
      </c>
      <c r="AU174" s="575"/>
      <c r="AV174" s="576"/>
      <c r="AW174" s="576"/>
      <c r="AX174" s="576"/>
      <c r="AY174" s="576"/>
      <c r="AZ174" s="576"/>
      <c r="BA174" s="576"/>
      <c r="BB174" s="577"/>
      <c r="BC174" s="579"/>
      <c r="BD174" s="582"/>
      <c r="BE174" s="191"/>
      <c r="BF174" s="192"/>
      <c r="BG174" s="193"/>
      <c r="BH174" s="193"/>
    </row>
    <row r="175" spans="1:60" s="120" customFormat="1" ht="24.95" customHeight="1" x14ac:dyDescent="0.25">
      <c r="A175" s="675"/>
      <c r="B175" s="664"/>
      <c r="C175" s="665"/>
      <c r="D175" s="1079"/>
      <c r="E175" s="879"/>
      <c r="F175" s="777"/>
      <c r="G175" s="1074"/>
      <c r="H175" s="1074"/>
      <c r="I175" s="804"/>
      <c r="J175" s="925"/>
      <c r="K175" s="929"/>
      <c r="L175" s="724"/>
      <c r="M175" s="724"/>
      <c r="N175" s="724"/>
      <c r="O175" s="956"/>
      <c r="P175" s="732"/>
      <c r="Q175" s="957"/>
      <c r="R175" s="957"/>
      <c r="S175" s="957"/>
      <c r="T175" s="960"/>
      <c r="U175" s="170" t="s">
        <v>96</v>
      </c>
      <c r="V175" s="221">
        <f>IF((V173/V174)&lt;$I$8,(V173/V174),IF((V173/V174)&lt;$J$8,(V173/V174),IF((V173/V174)&lt;$J$9,(V173/V174),IF((V173/V174)&gt;=$J$9,$J$9))))</f>
        <v>0</v>
      </c>
      <c r="W175" s="221">
        <f t="shared" ref="W175:AC175" si="125">IF((W173/W174)&lt;$I$8,(W173/W174),IF((W173/W174)&lt;$J$8,(W173/W174),IF((W173/W174)&lt;$J$9,(W173/W174),IF((W173/W174)&gt;=$J$9,$J$9))))</f>
        <v>0</v>
      </c>
      <c r="X175" s="221">
        <f t="shared" si="125"/>
        <v>0</v>
      </c>
      <c r="Y175" s="221">
        <f t="shared" si="125"/>
        <v>0</v>
      </c>
      <c r="Z175" s="221">
        <f t="shared" si="125"/>
        <v>0</v>
      </c>
      <c r="AA175" s="221">
        <f t="shared" si="125"/>
        <v>0</v>
      </c>
      <c r="AB175" s="221">
        <f t="shared" si="125"/>
        <v>0</v>
      </c>
      <c r="AC175" s="221">
        <f t="shared" si="125"/>
        <v>0</v>
      </c>
      <c r="AD175" s="965"/>
      <c r="AE175" s="962"/>
      <c r="AF175" s="962"/>
      <c r="AG175" s="962"/>
      <c r="AH175" s="670"/>
      <c r="AI175" s="670"/>
      <c r="AJ175" s="671"/>
      <c r="AK175" s="671"/>
      <c r="AL175" s="671"/>
      <c r="AM175" s="671"/>
      <c r="AN175" s="671"/>
      <c r="AO175" s="671"/>
      <c r="AP175" s="671"/>
      <c r="AQ175" s="671"/>
      <c r="AR175" s="671"/>
      <c r="AS175" s="671"/>
      <c r="AT175" s="190" t="s">
        <v>132</v>
      </c>
      <c r="AU175" s="575"/>
      <c r="AV175" s="576"/>
      <c r="AW175" s="576"/>
      <c r="AX175" s="576"/>
      <c r="AY175" s="576"/>
      <c r="AZ175" s="576"/>
      <c r="BA175" s="576"/>
      <c r="BB175" s="577"/>
      <c r="BC175" s="579"/>
      <c r="BD175" s="582"/>
      <c r="BE175" s="191"/>
      <c r="BF175" s="192"/>
      <c r="BG175" s="193"/>
      <c r="BH175" s="193"/>
    </row>
    <row r="176" spans="1:60" s="120" customFormat="1" ht="96.95" customHeight="1" x14ac:dyDescent="0.25">
      <c r="A176" s="128"/>
      <c r="B176" s="664"/>
      <c r="C176" s="665">
        <v>8</v>
      </c>
      <c r="D176" s="1079"/>
      <c r="E176" s="879"/>
      <c r="F176" s="777"/>
      <c r="G176" s="1074"/>
      <c r="H176" s="1074"/>
      <c r="I176" s="804" t="s">
        <v>311</v>
      </c>
      <c r="J176" s="925">
        <v>0.1</v>
      </c>
      <c r="K176" s="927" t="s">
        <v>312</v>
      </c>
      <c r="L176" s="722" t="s">
        <v>313</v>
      </c>
      <c r="M176" s="722" t="str">
        <f>CONCATENATE(U176,"/",U177)</f>
        <v>No. de resoluciones proyectadas/Total de resoluciones a proyectar en el periodo</v>
      </c>
      <c r="N176" s="722" t="s">
        <v>277</v>
      </c>
      <c r="O176" s="954" t="s">
        <v>89</v>
      </c>
      <c r="P176" s="732">
        <v>0.03</v>
      </c>
      <c r="Q176" s="957">
        <v>1</v>
      </c>
      <c r="R176" s="957">
        <v>1</v>
      </c>
      <c r="S176" s="957">
        <v>1</v>
      </c>
      <c r="T176" s="958" t="s">
        <v>151</v>
      </c>
      <c r="U176" s="223" t="s">
        <v>314</v>
      </c>
      <c r="V176" s="188"/>
      <c r="W176" s="188"/>
      <c r="X176" s="188"/>
      <c r="Y176" s="188"/>
      <c r="Z176" s="130"/>
      <c r="AA176" s="130"/>
      <c r="AB176" s="130"/>
      <c r="AC176" s="130"/>
      <c r="AD176" s="965"/>
      <c r="AE176" s="962"/>
      <c r="AF176" s="962"/>
      <c r="AG176" s="962"/>
      <c r="AH176" s="670"/>
      <c r="AI176" s="670"/>
      <c r="AJ176" s="669" t="s">
        <v>94</v>
      </c>
      <c r="AK176" s="669" t="s">
        <v>94</v>
      </c>
      <c r="AL176" s="669"/>
      <c r="AM176" s="669" t="s">
        <v>94</v>
      </c>
      <c r="AN176" s="669" t="s">
        <v>94</v>
      </c>
      <c r="AO176" s="669"/>
      <c r="AP176" s="669"/>
      <c r="AQ176" s="669" t="s">
        <v>94</v>
      </c>
      <c r="AR176" s="669"/>
      <c r="AS176" s="669"/>
      <c r="AT176" s="190" t="s">
        <v>129</v>
      </c>
      <c r="AU176" s="203">
        <f t="shared" ref="AU176:BB176" si="126">+V178*$J$176</f>
        <v>0</v>
      </c>
      <c r="AV176" s="203">
        <f t="shared" si="126"/>
        <v>0</v>
      </c>
      <c r="AW176" s="203">
        <f t="shared" si="126"/>
        <v>0</v>
      </c>
      <c r="AX176" s="203">
        <f t="shared" si="126"/>
        <v>0</v>
      </c>
      <c r="AY176" s="203">
        <f t="shared" si="126"/>
        <v>0</v>
      </c>
      <c r="AZ176" s="203">
        <f t="shared" si="126"/>
        <v>0</v>
      </c>
      <c r="BA176" s="203">
        <f t="shared" si="126"/>
        <v>0</v>
      </c>
      <c r="BB176" s="203">
        <f t="shared" si="126"/>
        <v>0</v>
      </c>
      <c r="BC176" s="579"/>
      <c r="BD176" s="582"/>
      <c r="BE176" s="191"/>
      <c r="BF176" s="192"/>
      <c r="BG176" s="193"/>
      <c r="BH176" s="193"/>
    </row>
    <row r="177" spans="1:60" s="120" customFormat="1" ht="96.95" customHeight="1" x14ac:dyDescent="0.25">
      <c r="A177" s="128"/>
      <c r="B177" s="664"/>
      <c r="C177" s="665"/>
      <c r="D177" s="1079"/>
      <c r="E177" s="879"/>
      <c r="F177" s="777"/>
      <c r="G177" s="1074"/>
      <c r="H177" s="1074"/>
      <c r="I177" s="804"/>
      <c r="J177" s="925"/>
      <c r="K177" s="928"/>
      <c r="L177" s="723"/>
      <c r="M177" s="723"/>
      <c r="N177" s="723"/>
      <c r="O177" s="955"/>
      <c r="P177" s="732"/>
      <c r="Q177" s="957"/>
      <c r="R177" s="957"/>
      <c r="S177" s="957"/>
      <c r="T177" s="959"/>
      <c r="U177" s="218" t="s">
        <v>315</v>
      </c>
      <c r="V177" s="170">
        <v>5</v>
      </c>
      <c r="W177" s="170">
        <v>10</v>
      </c>
      <c r="X177" s="170">
        <v>13</v>
      </c>
      <c r="Y177" s="170">
        <v>12</v>
      </c>
      <c r="Z177" s="170">
        <f t="shared" ref="Z177" si="127">+V177</f>
        <v>5</v>
      </c>
      <c r="AA177" s="170">
        <f t="shared" ref="AA177" si="128">+V177+W177</f>
        <v>15</v>
      </c>
      <c r="AB177" s="170">
        <f t="shared" ref="AB177" si="129">+V177+W177+X177</f>
        <v>28</v>
      </c>
      <c r="AC177" s="170">
        <f t="shared" ref="AC177" si="130">+V177+W177+X177+Y177</f>
        <v>40</v>
      </c>
      <c r="AD177" s="965"/>
      <c r="AE177" s="962"/>
      <c r="AF177" s="962"/>
      <c r="AG177" s="962"/>
      <c r="AH177" s="670"/>
      <c r="AI177" s="670"/>
      <c r="AJ177" s="670"/>
      <c r="AK177" s="670"/>
      <c r="AL177" s="670"/>
      <c r="AM177" s="670"/>
      <c r="AN177" s="670"/>
      <c r="AO177" s="670"/>
      <c r="AP177" s="670"/>
      <c r="AQ177" s="670"/>
      <c r="AR177" s="670"/>
      <c r="AS177" s="670"/>
      <c r="AT177" s="190" t="s">
        <v>131</v>
      </c>
      <c r="AU177" s="575"/>
      <c r="AV177" s="576"/>
      <c r="AW177" s="576"/>
      <c r="AX177" s="576"/>
      <c r="AY177" s="576"/>
      <c r="AZ177" s="576"/>
      <c r="BA177" s="576"/>
      <c r="BB177" s="577"/>
      <c r="BC177" s="579"/>
      <c r="BD177" s="582"/>
      <c r="BE177" s="191"/>
      <c r="BF177" s="192"/>
      <c r="BG177" s="193"/>
      <c r="BH177" s="193"/>
    </row>
    <row r="178" spans="1:60" s="120" customFormat="1" ht="24.95" customHeight="1" x14ac:dyDescent="0.25">
      <c r="A178" s="128"/>
      <c r="B178" s="664"/>
      <c r="C178" s="665"/>
      <c r="D178" s="1079"/>
      <c r="E178" s="879"/>
      <c r="F178" s="777"/>
      <c r="G178" s="1074"/>
      <c r="H178" s="1074"/>
      <c r="I178" s="804"/>
      <c r="J178" s="925"/>
      <c r="K178" s="929"/>
      <c r="L178" s="724"/>
      <c r="M178" s="724"/>
      <c r="N178" s="724"/>
      <c r="O178" s="956"/>
      <c r="P178" s="732"/>
      <c r="Q178" s="957"/>
      <c r="R178" s="957"/>
      <c r="S178" s="957"/>
      <c r="T178" s="960"/>
      <c r="U178" s="170" t="s">
        <v>96</v>
      </c>
      <c r="V178" s="221">
        <f>IF((V176/V177)&lt;$I$8,(V176/V177),IF((V176/V177)&lt;$J$8,(V176/V177),IF((V176/V177)&lt;$J$9,(V176/V177),IF((V176/V177)&gt;=$J$9,$J$9))))</f>
        <v>0</v>
      </c>
      <c r="W178" s="221">
        <f t="shared" ref="W178:AC178" si="131">IF((W176/W177)&lt;$I$8,(W176/W177),IF((W176/W177)&lt;$J$8,(W176/W177),IF((W176/W177)&lt;$J$9,(W176/W177),IF((W176/W177)&gt;=$J$9,$J$9))))</f>
        <v>0</v>
      </c>
      <c r="X178" s="221">
        <f t="shared" si="131"/>
        <v>0</v>
      </c>
      <c r="Y178" s="221">
        <f t="shared" si="131"/>
        <v>0</v>
      </c>
      <c r="Z178" s="221">
        <f t="shared" si="131"/>
        <v>0</v>
      </c>
      <c r="AA178" s="221">
        <f t="shared" si="131"/>
        <v>0</v>
      </c>
      <c r="AB178" s="221">
        <f t="shared" si="131"/>
        <v>0</v>
      </c>
      <c r="AC178" s="221">
        <f t="shared" si="131"/>
        <v>0</v>
      </c>
      <c r="AD178" s="965"/>
      <c r="AE178" s="962"/>
      <c r="AF178" s="962"/>
      <c r="AG178" s="962"/>
      <c r="AH178" s="670"/>
      <c r="AI178" s="670"/>
      <c r="AJ178" s="671"/>
      <c r="AK178" s="671"/>
      <c r="AL178" s="671"/>
      <c r="AM178" s="671"/>
      <c r="AN178" s="671"/>
      <c r="AO178" s="671"/>
      <c r="AP178" s="671"/>
      <c r="AQ178" s="671"/>
      <c r="AR178" s="671"/>
      <c r="AS178" s="671"/>
      <c r="AT178" s="190" t="s">
        <v>132</v>
      </c>
      <c r="AU178" s="575"/>
      <c r="AV178" s="576"/>
      <c r="AW178" s="576"/>
      <c r="AX178" s="576"/>
      <c r="AY178" s="576"/>
      <c r="AZ178" s="576"/>
      <c r="BA178" s="576"/>
      <c r="BB178" s="577"/>
      <c r="BC178" s="579"/>
      <c r="BD178" s="582"/>
      <c r="BE178" s="191"/>
      <c r="BF178" s="192"/>
      <c r="BG178" s="193"/>
      <c r="BH178" s="193"/>
    </row>
    <row r="179" spans="1:60" s="120" customFormat="1" ht="96.95" customHeight="1" x14ac:dyDescent="0.25">
      <c r="A179" s="128"/>
      <c r="B179" s="664"/>
      <c r="C179" s="665">
        <v>9</v>
      </c>
      <c r="D179" s="1079"/>
      <c r="E179" s="879"/>
      <c r="F179" s="777"/>
      <c r="G179" s="1074"/>
      <c r="H179" s="1074"/>
      <c r="I179" s="804" t="s">
        <v>316</v>
      </c>
      <c r="J179" s="925">
        <v>0.2</v>
      </c>
      <c r="K179" s="927" t="s">
        <v>317</v>
      </c>
      <c r="L179" s="722" t="s">
        <v>318</v>
      </c>
      <c r="M179" s="722" t="str">
        <f>CONCATENATE(U179,"/",U180)</f>
        <v>No. de minutas de contrato de concesión proyectadas/Total de minutas de contrato de concesión programadas para el periodo</v>
      </c>
      <c r="N179" s="722" t="s">
        <v>295</v>
      </c>
      <c r="O179" s="954" t="s">
        <v>89</v>
      </c>
      <c r="P179" s="732">
        <v>0.03</v>
      </c>
      <c r="Q179" s="957">
        <v>1</v>
      </c>
      <c r="R179" s="957">
        <v>1</v>
      </c>
      <c r="S179" s="957">
        <v>1</v>
      </c>
      <c r="T179" s="958" t="s">
        <v>151</v>
      </c>
      <c r="U179" s="223" t="s">
        <v>319</v>
      </c>
      <c r="V179" s="188"/>
      <c r="W179" s="188"/>
      <c r="X179" s="188"/>
      <c r="Y179" s="188"/>
      <c r="Z179" s="130"/>
      <c r="AA179" s="130"/>
      <c r="AB179" s="130"/>
      <c r="AC179" s="130"/>
      <c r="AD179" s="965"/>
      <c r="AE179" s="962"/>
      <c r="AF179" s="962"/>
      <c r="AG179" s="962"/>
      <c r="AH179" s="670"/>
      <c r="AI179" s="670"/>
      <c r="AJ179" s="669" t="s">
        <v>94</v>
      </c>
      <c r="AK179" s="669" t="s">
        <v>94</v>
      </c>
      <c r="AL179" s="669"/>
      <c r="AM179" s="669" t="s">
        <v>94</v>
      </c>
      <c r="AN179" s="669"/>
      <c r="AO179" s="669" t="s">
        <v>94</v>
      </c>
      <c r="AP179" s="669"/>
      <c r="AQ179" s="669"/>
      <c r="AR179" s="669"/>
      <c r="AS179" s="669" t="s">
        <v>94</v>
      </c>
      <c r="AT179" s="190" t="s">
        <v>129</v>
      </c>
      <c r="AU179" s="203">
        <f t="shared" ref="AU179:BB179" si="132">+V181*$J$179</f>
        <v>0</v>
      </c>
      <c r="AV179" s="203">
        <f t="shared" si="132"/>
        <v>0</v>
      </c>
      <c r="AW179" s="203">
        <f t="shared" si="132"/>
        <v>0</v>
      </c>
      <c r="AX179" s="203">
        <f t="shared" si="132"/>
        <v>0</v>
      </c>
      <c r="AY179" s="203">
        <f t="shared" si="132"/>
        <v>0</v>
      </c>
      <c r="AZ179" s="203">
        <f t="shared" si="132"/>
        <v>0</v>
      </c>
      <c r="BA179" s="203">
        <f t="shared" si="132"/>
        <v>0</v>
      </c>
      <c r="BB179" s="203">
        <f t="shared" si="132"/>
        <v>0</v>
      </c>
      <c r="BC179" s="579"/>
      <c r="BD179" s="582"/>
      <c r="BE179" s="191"/>
      <c r="BF179" s="192"/>
      <c r="BG179" s="193"/>
      <c r="BH179" s="193"/>
    </row>
    <row r="180" spans="1:60" s="120" customFormat="1" ht="96.95" customHeight="1" x14ac:dyDescent="0.25">
      <c r="A180" s="128"/>
      <c r="B180" s="664"/>
      <c r="C180" s="665"/>
      <c r="D180" s="1079"/>
      <c r="E180" s="879"/>
      <c r="F180" s="777"/>
      <c r="G180" s="1074"/>
      <c r="H180" s="1074"/>
      <c r="I180" s="804"/>
      <c r="J180" s="925"/>
      <c r="K180" s="928"/>
      <c r="L180" s="723"/>
      <c r="M180" s="723"/>
      <c r="N180" s="723"/>
      <c r="O180" s="955"/>
      <c r="P180" s="732"/>
      <c r="Q180" s="957"/>
      <c r="R180" s="957"/>
      <c r="S180" s="957"/>
      <c r="T180" s="959"/>
      <c r="U180" s="224" t="s">
        <v>320</v>
      </c>
      <c r="V180" s="170">
        <v>5</v>
      </c>
      <c r="W180" s="170">
        <v>5</v>
      </c>
      <c r="X180" s="170">
        <v>5</v>
      </c>
      <c r="Y180" s="170">
        <v>5</v>
      </c>
      <c r="Z180" s="170">
        <f t="shared" ref="Z180" si="133">+V180</f>
        <v>5</v>
      </c>
      <c r="AA180" s="170">
        <f t="shared" ref="AA180" si="134">+V180+W180</f>
        <v>10</v>
      </c>
      <c r="AB180" s="170">
        <f t="shared" ref="AB180" si="135">+V180+W180+X180</f>
        <v>15</v>
      </c>
      <c r="AC180" s="170">
        <f t="shared" ref="AC180" si="136">+V180+W180+X180+Y180</f>
        <v>20</v>
      </c>
      <c r="AD180" s="965"/>
      <c r="AE180" s="962"/>
      <c r="AF180" s="962"/>
      <c r="AG180" s="962"/>
      <c r="AH180" s="670"/>
      <c r="AI180" s="670"/>
      <c r="AJ180" s="670"/>
      <c r="AK180" s="670"/>
      <c r="AL180" s="670"/>
      <c r="AM180" s="670"/>
      <c r="AN180" s="670"/>
      <c r="AO180" s="670"/>
      <c r="AP180" s="670"/>
      <c r="AQ180" s="670"/>
      <c r="AR180" s="670"/>
      <c r="AS180" s="670"/>
      <c r="AT180" s="190" t="s">
        <v>131</v>
      </c>
      <c r="AU180" s="575"/>
      <c r="AV180" s="576"/>
      <c r="AW180" s="576"/>
      <c r="AX180" s="576"/>
      <c r="AY180" s="576"/>
      <c r="AZ180" s="576"/>
      <c r="BA180" s="576"/>
      <c r="BB180" s="577"/>
      <c r="BC180" s="579"/>
      <c r="BD180" s="582"/>
      <c r="BE180" s="191"/>
      <c r="BF180" s="192"/>
      <c r="BG180" s="193"/>
      <c r="BH180" s="193"/>
    </row>
    <row r="181" spans="1:60" s="120" customFormat="1" ht="24.95" customHeight="1" x14ac:dyDescent="0.25">
      <c r="A181" s="128"/>
      <c r="B181" s="664"/>
      <c r="C181" s="665"/>
      <c r="D181" s="1079"/>
      <c r="E181" s="879"/>
      <c r="F181" s="777"/>
      <c r="G181" s="1074"/>
      <c r="H181" s="1074"/>
      <c r="I181" s="804"/>
      <c r="J181" s="925"/>
      <c r="K181" s="929"/>
      <c r="L181" s="724"/>
      <c r="M181" s="724"/>
      <c r="N181" s="724"/>
      <c r="O181" s="956"/>
      <c r="P181" s="732"/>
      <c r="Q181" s="957"/>
      <c r="R181" s="957"/>
      <c r="S181" s="957"/>
      <c r="T181" s="960"/>
      <c r="U181" s="170" t="s">
        <v>96</v>
      </c>
      <c r="V181" s="221">
        <f>IF((V179/V180)&lt;$I$8,(V179/V180),IF((V179/V180)&lt;$J$8,(V179/V180),IF((V179/V180)&lt;$J$9,(V179/V180),IF((V179/V180)&gt;=$J$9,$J$9))))</f>
        <v>0</v>
      </c>
      <c r="W181" s="221">
        <f t="shared" ref="W181:AC181" si="137">IF((W179/W180)&lt;$I$8,(W179/W180),IF((W179/W180)&lt;$J$8,(W179/W180),IF((W179/W180)&lt;$J$9,(W179/W180),IF((W179/W180)&gt;=$J$9,$J$9))))</f>
        <v>0</v>
      </c>
      <c r="X181" s="221">
        <f t="shared" si="137"/>
        <v>0</v>
      </c>
      <c r="Y181" s="221">
        <f t="shared" si="137"/>
        <v>0</v>
      </c>
      <c r="Z181" s="221">
        <f t="shared" si="137"/>
        <v>0</v>
      </c>
      <c r="AA181" s="221">
        <f t="shared" si="137"/>
        <v>0</v>
      </c>
      <c r="AB181" s="221">
        <f t="shared" si="137"/>
        <v>0</v>
      </c>
      <c r="AC181" s="221">
        <f t="shared" si="137"/>
        <v>0</v>
      </c>
      <c r="AD181" s="965"/>
      <c r="AE181" s="962"/>
      <c r="AF181" s="962"/>
      <c r="AG181" s="962"/>
      <c r="AH181" s="670"/>
      <c r="AI181" s="670"/>
      <c r="AJ181" s="671"/>
      <c r="AK181" s="671"/>
      <c r="AL181" s="671"/>
      <c r="AM181" s="671"/>
      <c r="AN181" s="671"/>
      <c r="AO181" s="671"/>
      <c r="AP181" s="671"/>
      <c r="AQ181" s="671"/>
      <c r="AR181" s="671"/>
      <c r="AS181" s="671"/>
      <c r="AT181" s="190" t="s">
        <v>132</v>
      </c>
      <c r="AU181" s="575"/>
      <c r="AV181" s="576"/>
      <c r="AW181" s="576"/>
      <c r="AX181" s="576"/>
      <c r="AY181" s="576"/>
      <c r="AZ181" s="576"/>
      <c r="BA181" s="576"/>
      <c r="BB181" s="577"/>
      <c r="BC181" s="579"/>
      <c r="BD181" s="582"/>
      <c r="BE181" s="191"/>
      <c r="BF181" s="192"/>
      <c r="BG181" s="193"/>
      <c r="BH181" s="193"/>
    </row>
    <row r="182" spans="1:60" s="120" customFormat="1" ht="45" customHeight="1" x14ac:dyDescent="0.25">
      <c r="A182" s="675"/>
      <c r="B182" s="664"/>
      <c r="C182" s="665">
        <v>10</v>
      </c>
      <c r="D182" s="1079"/>
      <c r="E182" s="879"/>
      <c r="F182" s="777"/>
      <c r="G182" s="1074"/>
      <c r="H182" s="1074"/>
      <c r="I182" s="804" t="s">
        <v>321</v>
      </c>
      <c r="J182" s="925">
        <v>0.1</v>
      </c>
      <c r="K182" s="927" t="s">
        <v>322</v>
      </c>
      <c r="L182" s="722" t="s">
        <v>323</v>
      </c>
      <c r="M182" s="722" t="str">
        <f>CONCATENATE(U182,"/",U183)</f>
        <v>No de visitas técnicas a solicitudes de legalización minera y subcontratos de formalización/Total de  de visitas técnicas a solicitudes de legalización minera programadas para el periodo</v>
      </c>
      <c r="N182" s="722" t="s">
        <v>324</v>
      </c>
      <c r="O182" s="954" t="s">
        <v>89</v>
      </c>
      <c r="P182" s="732">
        <v>0.03</v>
      </c>
      <c r="Q182" s="957">
        <v>1</v>
      </c>
      <c r="R182" s="957">
        <v>1</v>
      </c>
      <c r="S182" s="957">
        <v>1</v>
      </c>
      <c r="T182" s="958" t="s">
        <v>151</v>
      </c>
      <c r="U182" s="223" t="s">
        <v>325</v>
      </c>
      <c r="V182" s="188"/>
      <c r="W182" s="188"/>
      <c r="X182" s="188"/>
      <c r="Y182" s="188"/>
      <c r="Z182" s="130"/>
      <c r="AA182" s="130"/>
      <c r="AB182" s="130"/>
      <c r="AC182" s="130"/>
      <c r="AD182" s="965"/>
      <c r="AE182" s="962"/>
      <c r="AF182" s="962"/>
      <c r="AG182" s="962"/>
      <c r="AH182" s="670"/>
      <c r="AI182" s="670"/>
      <c r="AJ182" s="669" t="s">
        <v>94</v>
      </c>
      <c r="AK182" s="669" t="s">
        <v>94</v>
      </c>
      <c r="AL182" s="669"/>
      <c r="AM182" s="669" t="s">
        <v>94</v>
      </c>
      <c r="AN182" s="669" t="s">
        <v>94</v>
      </c>
      <c r="AO182" s="669"/>
      <c r="AP182" s="669"/>
      <c r="AQ182" s="669" t="s">
        <v>94</v>
      </c>
      <c r="AR182" s="669"/>
      <c r="AS182" s="669"/>
      <c r="AT182" s="190" t="s">
        <v>129</v>
      </c>
      <c r="AU182" s="203">
        <f t="shared" ref="AU182:BB182" si="138">+V184*$J$182</f>
        <v>0</v>
      </c>
      <c r="AV182" s="203">
        <f t="shared" si="138"/>
        <v>0</v>
      </c>
      <c r="AW182" s="203">
        <f t="shared" si="138"/>
        <v>0</v>
      </c>
      <c r="AX182" s="203">
        <f t="shared" si="138"/>
        <v>0</v>
      </c>
      <c r="AY182" s="203">
        <f t="shared" si="138"/>
        <v>0</v>
      </c>
      <c r="AZ182" s="203">
        <f t="shared" si="138"/>
        <v>0</v>
      </c>
      <c r="BA182" s="203">
        <f t="shared" si="138"/>
        <v>0</v>
      </c>
      <c r="BB182" s="203">
        <f t="shared" si="138"/>
        <v>0</v>
      </c>
      <c r="BC182" s="579"/>
      <c r="BD182" s="582"/>
      <c r="BE182" s="191"/>
      <c r="BF182" s="192"/>
      <c r="BG182" s="193"/>
      <c r="BH182" s="193"/>
    </row>
    <row r="183" spans="1:60" s="120" customFormat="1" ht="45" customHeight="1" x14ac:dyDescent="0.25">
      <c r="A183" s="675"/>
      <c r="B183" s="664"/>
      <c r="C183" s="665"/>
      <c r="D183" s="1079"/>
      <c r="E183" s="879"/>
      <c r="F183" s="777"/>
      <c r="G183" s="1074"/>
      <c r="H183" s="1074"/>
      <c r="I183" s="804"/>
      <c r="J183" s="925"/>
      <c r="K183" s="928"/>
      <c r="L183" s="723"/>
      <c r="M183" s="723"/>
      <c r="N183" s="723"/>
      <c r="O183" s="955"/>
      <c r="P183" s="732"/>
      <c r="Q183" s="957"/>
      <c r="R183" s="957"/>
      <c r="S183" s="957"/>
      <c r="T183" s="959"/>
      <c r="U183" s="224" t="s">
        <v>326</v>
      </c>
      <c r="V183" s="170">
        <v>3</v>
      </c>
      <c r="W183" s="170">
        <v>9</v>
      </c>
      <c r="X183" s="170">
        <v>9</v>
      </c>
      <c r="Y183" s="170">
        <v>9</v>
      </c>
      <c r="Z183" s="170">
        <f t="shared" ref="Z183" si="139">+V183</f>
        <v>3</v>
      </c>
      <c r="AA183" s="170">
        <f t="shared" ref="AA183" si="140">+V183+W183</f>
        <v>12</v>
      </c>
      <c r="AB183" s="170">
        <f t="shared" ref="AB183" si="141">+V183+W183+X183</f>
        <v>21</v>
      </c>
      <c r="AC183" s="170">
        <f t="shared" ref="AC183" si="142">+V183+W183+X183+Y183</f>
        <v>30</v>
      </c>
      <c r="AD183" s="965"/>
      <c r="AE183" s="962"/>
      <c r="AF183" s="962"/>
      <c r="AG183" s="962"/>
      <c r="AH183" s="670"/>
      <c r="AI183" s="670"/>
      <c r="AJ183" s="670"/>
      <c r="AK183" s="670"/>
      <c r="AL183" s="670"/>
      <c r="AM183" s="670"/>
      <c r="AN183" s="670"/>
      <c r="AO183" s="670"/>
      <c r="AP183" s="670"/>
      <c r="AQ183" s="670"/>
      <c r="AR183" s="670"/>
      <c r="AS183" s="670"/>
      <c r="AT183" s="190" t="s">
        <v>131</v>
      </c>
      <c r="AU183" s="575"/>
      <c r="AV183" s="576"/>
      <c r="AW183" s="576"/>
      <c r="AX183" s="576"/>
      <c r="AY183" s="576"/>
      <c r="AZ183" s="576"/>
      <c r="BA183" s="576"/>
      <c r="BB183" s="577"/>
      <c r="BC183" s="579"/>
      <c r="BD183" s="582"/>
      <c r="BE183" s="191"/>
      <c r="BF183" s="192"/>
      <c r="BG183" s="193"/>
      <c r="BH183" s="193"/>
    </row>
    <row r="184" spans="1:60" s="120" customFormat="1" ht="24.95" customHeight="1" x14ac:dyDescent="0.25">
      <c r="A184" s="675"/>
      <c r="B184" s="664"/>
      <c r="C184" s="665"/>
      <c r="D184" s="1079"/>
      <c r="E184" s="879"/>
      <c r="F184" s="777"/>
      <c r="G184" s="1074"/>
      <c r="H184" s="1074"/>
      <c r="I184" s="804"/>
      <c r="J184" s="925"/>
      <c r="K184" s="929"/>
      <c r="L184" s="724"/>
      <c r="M184" s="724"/>
      <c r="N184" s="724"/>
      <c r="O184" s="956"/>
      <c r="P184" s="732"/>
      <c r="Q184" s="957"/>
      <c r="R184" s="957"/>
      <c r="S184" s="957"/>
      <c r="T184" s="960"/>
      <c r="U184" s="170" t="s">
        <v>96</v>
      </c>
      <c r="V184" s="221">
        <f>IF((V182/V183)&lt;$I$8,(V182/V183),IF((V182/V183)&lt;$J$8,(V182/V183),IF((V182/V183)&lt;$J$9,(V182/V183),IF((V182/V183)&gt;=$J$9,$J$9))))</f>
        <v>0</v>
      </c>
      <c r="W184" s="221">
        <f t="shared" ref="W184:AC184" si="143">IF((W182/W183)&lt;$I$8,(W182/W183),IF((W182/W183)&lt;$J$8,(W182/W183),IF((W182/W183)&lt;$J$9,(W182/W183),IF((W182/W183)&gt;=$J$9,$J$9))))</f>
        <v>0</v>
      </c>
      <c r="X184" s="221">
        <f t="shared" si="143"/>
        <v>0</v>
      </c>
      <c r="Y184" s="221">
        <f t="shared" si="143"/>
        <v>0</v>
      </c>
      <c r="Z184" s="221">
        <f t="shared" si="143"/>
        <v>0</v>
      </c>
      <c r="AA184" s="221">
        <f t="shared" si="143"/>
        <v>0</v>
      </c>
      <c r="AB184" s="221">
        <f t="shared" si="143"/>
        <v>0</v>
      </c>
      <c r="AC184" s="221">
        <f t="shared" si="143"/>
        <v>0</v>
      </c>
      <c r="AD184" s="966"/>
      <c r="AE184" s="963"/>
      <c r="AF184" s="963"/>
      <c r="AG184" s="963"/>
      <c r="AH184" s="671"/>
      <c r="AI184" s="671"/>
      <c r="AJ184" s="671"/>
      <c r="AK184" s="671"/>
      <c r="AL184" s="671"/>
      <c r="AM184" s="671"/>
      <c r="AN184" s="671"/>
      <c r="AO184" s="671"/>
      <c r="AP184" s="671"/>
      <c r="AQ184" s="671"/>
      <c r="AR184" s="671"/>
      <c r="AS184" s="671"/>
      <c r="AT184" s="190" t="s">
        <v>132</v>
      </c>
      <c r="AU184" s="575"/>
      <c r="AV184" s="576"/>
      <c r="AW184" s="576"/>
      <c r="AX184" s="576"/>
      <c r="AY184" s="576"/>
      <c r="AZ184" s="576"/>
      <c r="BA184" s="576"/>
      <c r="BB184" s="577"/>
      <c r="BC184" s="580"/>
      <c r="BD184" s="582"/>
      <c r="BE184" s="191"/>
      <c r="BF184" s="192"/>
      <c r="BG184" s="193"/>
      <c r="BH184" s="193"/>
    </row>
    <row r="185" spans="1:60" s="227" customFormat="1" ht="45" customHeight="1" x14ac:dyDescent="0.2">
      <c r="A185" s="675"/>
      <c r="B185" s="664"/>
      <c r="C185" s="665">
        <v>11</v>
      </c>
      <c r="D185" s="1079"/>
      <c r="E185" s="879" t="s">
        <v>327</v>
      </c>
      <c r="F185" s="1070">
        <v>0.05</v>
      </c>
      <c r="G185" s="736" t="s">
        <v>328</v>
      </c>
      <c r="H185" s="758">
        <v>0.5</v>
      </c>
      <c r="I185" s="1071" t="s">
        <v>329</v>
      </c>
      <c r="J185" s="915">
        <v>1</v>
      </c>
      <c r="K185" s="736" t="s">
        <v>330</v>
      </c>
      <c r="L185" s="736" t="s">
        <v>331</v>
      </c>
      <c r="M185" s="722" t="str">
        <f t="shared" ref="M185" si="144">CONCATENATE(U185,"/",U186)</f>
        <v xml:space="preserve">% de Ejecución presupuestal de inversión y Funcionamiento  (SIIF) (obligaciones)/% de Programación presupuestal de Inversión y Funcionamiento (Plan Anual de Adquisiciones) </v>
      </c>
      <c r="N185" s="722" t="s">
        <v>332</v>
      </c>
      <c r="O185" s="954" t="s">
        <v>89</v>
      </c>
      <c r="P185" s="719">
        <v>0.05</v>
      </c>
      <c r="Q185" s="719" t="s">
        <v>90</v>
      </c>
      <c r="R185" s="719">
        <v>1</v>
      </c>
      <c r="S185" s="719">
        <v>1</v>
      </c>
      <c r="T185" s="764" t="s">
        <v>151</v>
      </c>
      <c r="U185" s="223" t="s">
        <v>333</v>
      </c>
      <c r="V185" s="225"/>
      <c r="W185" s="225"/>
      <c r="X185" s="225"/>
      <c r="Y185" s="225"/>
      <c r="Z185" s="226"/>
      <c r="AA185" s="226"/>
      <c r="AB185" s="226"/>
      <c r="AC185" s="226"/>
      <c r="AD185" s="964">
        <f>+AE185+AF185+AG185</f>
        <v>0</v>
      </c>
      <c r="AE185" s="961">
        <v>0</v>
      </c>
      <c r="AF185" s="961">
        <v>0</v>
      </c>
      <c r="AG185" s="961">
        <v>0</v>
      </c>
      <c r="AH185" s="996" t="s">
        <v>334</v>
      </c>
      <c r="AI185" s="996" t="s">
        <v>335</v>
      </c>
      <c r="AJ185" s="669" t="s">
        <v>94</v>
      </c>
      <c r="AK185" s="669"/>
      <c r="AL185" s="669"/>
      <c r="AM185" s="669"/>
      <c r="AN185" s="669" t="s">
        <v>94</v>
      </c>
      <c r="AO185" s="669"/>
      <c r="AP185" s="669"/>
      <c r="AQ185" s="669"/>
      <c r="AR185" s="669" t="s">
        <v>94</v>
      </c>
      <c r="AS185" s="669"/>
      <c r="AT185" s="190" t="s">
        <v>129</v>
      </c>
      <c r="AU185" s="203">
        <f t="shared" ref="AU185:BB185" si="145">+V187*$J$185</f>
        <v>0</v>
      </c>
      <c r="AV185" s="203">
        <f t="shared" si="145"/>
        <v>0</v>
      </c>
      <c r="AW185" s="203">
        <f t="shared" si="145"/>
        <v>0</v>
      </c>
      <c r="AX185" s="203">
        <f t="shared" si="145"/>
        <v>0</v>
      </c>
      <c r="AY185" s="203">
        <f t="shared" si="145"/>
        <v>0</v>
      </c>
      <c r="AZ185" s="203">
        <f t="shared" si="145"/>
        <v>0</v>
      </c>
      <c r="BA185" s="203">
        <f t="shared" si="145"/>
        <v>0</v>
      </c>
      <c r="BB185" s="203">
        <f t="shared" si="145"/>
        <v>0</v>
      </c>
      <c r="BC185" s="578">
        <f>+BB187</f>
        <v>1.9960079840319361E-2</v>
      </c>
      <c r="BD185" s="582"/>
      <c r="BE185" s="191"/>
      <c r="BF185" s="192"/>
      <c r="BG185" s="193"/>
      <c r="BH185" s="193"/>
    </row>
    <row r="186" spans="1:60" s="227" customFormat="1" ht="45" customHeight="1" thickBot="1" x14ac:dyDescent="0.25">
      <c r="A186" s="675"/>
      <c r="B186" s="664"/>
      <c r="C186" s="665"/>
      <c r="D186" s="1079"/>
      <c r="E186" s="879"/>
      <c r="F186" s="1070"/>
      <c r="G186" s="737"/>
      <c r="H186" s="759"/>
      <c r="I186" s="1072"/>
      <c r="J186" s="916"/>
      <c r="K186" s="737"/>
      <c r="L186" s="737"/>
      <c r="M186" s="723"/>
      <c r="N186" s="723"/>
      <c r="O186" s="955"/>
      <c r="P186" s="719"/>
      <c r="Q186" s="719"/>
      <c r="R186" s="719"/>
      <c r="S186" s="719"/>
      <c r="T186" s="765"/>
      <c r="U186" s="224" t="s">
        <v>336</v>
      </c>
      <c r="V186" s="228">
        <v>0.18</v>
      </c>
      <c r="W186" s="228">
        <v>0.28000000000000003</v>
      </c>
      <c r="X186" s="228">
        <v>0.27</v>
      </c>
      <c r="Y186" s="228">
        <v>0.27</v>
      </c>
      <c r="Z186" s="228">
        <f t="shared" ref="Z186" si="146">+V186</f>
        <v>0.18</v>
      </c>
      <c r="AA186" s="228">
        <f t="shared" ref="AA186" si="147">+V186+W186</f>
        <v>0.46</v>
      </c>
      <c r="AB186" s="228">
        <f t="shared" ref="AB186" si="148">+V186+W186+X186</f>
        <v>0.73</v>
      </c>
      <c r="AC186" s="228">
        <f t="shared" ref="AC186" si="149">+V186+W186+X186+Y186</f>
        <v>1</v>
      </c>
      <c r="AD186" s="965"/>
      <c r="AE186" s="962"/>
      <c r="AF186" s="962"/>
      <c r="AG186" s="962"/>
      <c r="AH186" s="996"/>
      <c r="AI186" s="996"/>
      <c r="AJ186" s="670"/>
      <c r="AK186" s="670"/>
      <c r="AL186" s="670"/>
      <c r="AM186" s="670"/>
      <c r="AN186" s="670"/>
      <c r="AO186" s="670"/>
      <c r="AP186" s="670"/>
      <c r="AQ186" s="670"/>
      <c r="AR186" s="670"/>
      <c r="AS186" s="670"/>
      <c r="AT186" s="190" t="s">
        <v>131</v>
      </c>
      <c r="AU186" s="203">
        <f>+AU185*$H$185</f>
        <v>0</v>
      </c>
      <c r="AV186" s="203">
        <f t="shared" ref="AV186:BB186" si="150">+AV185*$H$185</f>
        <v>0</v>
      </c>
      <c r="AW186" s="203">
        <f t="shared" si="150"/>
        <v>0</v>
      </c>
      <c r="AX186" s="203">
        <f t="shared" si="150"/>
        <v>0</v>
      </c>
      <c r="AY186" s="203">
        <f t="shared" si="150"/>
        <v>0</v>
      </c>
      <c r="AZ186" s="203">
        <f t="shared" si="150"/>
        <v>0</v>
      </c>
      <c r="BA186" s="203">
        <f t="shared" si="150"/>
        <v>0</v>
      </c>
      <c r="BB186" s="203">
        <f t="shared" si="150"/>
        <v>0</v>
      </c>
      <c r="BC186" s="579"/>
      <c r="BD186" s="582"/>
      <c r="BE186" s="191"/>
      <c r="BF186" s="192"/>
      <c r="BG186" s="193"/>
      <c r="BH186" s="193"/>
    </row>
    <row r="187" spans="1:60" s="227" customFormat="1" ht="24.95" customHeight="1" thickBot="1" x14ac:dyDescent="0.25">
      <c r="A187" s="675"/>
      <c r="B187" s="664"/>
      <c r="C187" s="665"/>
      <c r="D187" s="1079"/>
      <c r="E187" s="879"/>
      <c r="F187" s="1070"/>
      <c r="G187" s="738"/>
      <c r="H187" s="760"/>
      <c r="I187" s="1073"/>
      <c r="J187" s="917"/>
      <c r="K187" s="738"/>
      <c r="L187" s="738"/>
      <c r="M187" s="724"/>
      <c r="N187" s="724"/>
      <c r="O187" s="956"/>
      <c r="P187" s="719"/>
      <c r="Q187" s="719"/>
      <c r="R187" s="719"/>
      <c r="S187" s="719"/>
      <c r="T187" s="766"/>
      <c r="U187" s="170" t="s">
        <v>96</v>
      </c>
      <c r="V187" s="221">
        <f>IF((V185/V186)&lt;$I$8,(V185/V186),IF((V185/V186)&lt;$J$8,(V185/V186),IF((V185/V186)&lt;$J$9,(V185/V186),IF((V185/V186)&gt;=$J$9,$J$9))))</f>
        <v>0</v>
      </c>
      <c r="W187" s="221">
        <f t="shared" ref="W187:AC187" si="151">IF((W185/W186)&lt;$I$8,(W185/W186),IF((W185/W186)&lt;$J$8,(W185/W186),IF((W185/W186)&lt;$J$9,(W185/W186),IF((W185/W186)&gt;=$J$9,$J$9))))</f>
        <v>0</v>
      </c>
      <c r="X187" s="221">
        <f t="shared" si="151"/>
        <v>0</v>
      </c>
      <c r="Y187" s="221">
        <f t="shared" si="151"/>
        <v>0</v>
      </c>
      <c r="Z187" s="221">
        <f t="shared" si="151"/>
        <v>0</v>
      </c>
      <c r="AA187" s="221">
        <f t="shared" si="151"/>
        <v>0</v>
      </c>
      <c r="AB187" s="221">
        <f t="shared" si="151"/>
        <v>0</v>
      </c>
      <c r="AC187" s="221">
        <f t="shared" si="151"/>
        <v>0</v>
      </c>
      <c r="AD187" s="965"/>
      <c r="AE187" s="962"/>
      <c r="AF187" s="962"/>
      <c r="AG187" s="962"/>
      <c r="AH187" s="996"/>
      <c r="AI187" s="996"/>
      <c r="AJ187" s="671"/>
      <c r="AK187" s="671"/>
      <c r="AL187" s="671"/>
      <c r="AM187" s="671"/>
      <c r="AN187" s="671"/>
      <c r="AO187" s="671"/>
      <c r="AP187" s="671"/>
      <c r="AQ187" s="671"/>
      <c r="AR187" s="671"/>
      <c r="AS187" s="671"/>
      <c r="AT187" s="190" t="s">
        <v>132</v>
      </c>
      <c r="AU187" s="203">
        <f>+(AU186+AU189)*$F$185</f>
        <v>0</v>
      </c>
      <c r="AV187" s="203">
        <f t="shared" ref="AV187:BB187" si="152">+(AV186+AV189)*$F$185</f>
        <v>2.5000000000000001E-2</v>
      </c>
      <c r="AW187" s="203">
        <f t="shared" si="152"/>
        <v>0</v>
      </c>
      <c r="AX187" s="203">
        <f t="shared" si="152"/>
        <v>0</v>
      </c>
      <c r="AY187" s="203">
        <f t="shared" si="152"/>
        <v>0</v>
      </c>
      <c r="AZ187" s="203">
        <f t="shared" si="152"/>
        <v>2.5000000000000001E-2</v>
      </c>
      <c r="BA187" s="203">
        <f t="shared" si="152"/>
        <v>2.0000000000000004E-2</v>
      </c>
      <c r="BB187" s="127">
        <f t="shared" si="152"/>
        <v>1.9960079840319361E-2</v>
      </c>
      <c r="BC187" s="579"/>
      <c r="BD187" s="582"/>
      <c r="BE187" s="191"/>
      <c r="BF187" s="192"/>
      <c r="BG187" s="193"/>
      <c r="BH187" s="193"/>
    </row>
    <row r="188" spans="1:60" s="227" customFormat="1" ht="90" customHeight="1" x14ac:dyDescent="0.2">
      <c r="A188" s="675"/>
      <c r="B188" s="664"/>
      <c r="C188" s="665">
        <v>12</v>
      </c>
      <c r="D188" s="1079"/>
      <c r="E188" s="879"/>
      <c r="F188" s="1070"/>
      <c r="G188" s="758" t="s">
        <v>337</v>
      </c>
      <c r="H188" s="758">
        <v>0.5</v>
      </c>
      <c r="I188" s="736" t="s">
        <v>338</v>
      </c>
      <c r="J188" s="758">
        <v>1</v>
      </c>
      <c r="K188" s="722" t="s">
        <v>339</v>
      </c>
      <c r="L188" s="736" t="s">
        <v>340</v>
      </c>
      <c r="M188" s="722" t="str">
        <f t="shared" ref="M188" si="153">CONCATENATE(U188,"/",U189)</f>
        <v>No. de Procedimientos revisados /No. de Procedimientos vigentes programados para revisión</v>
      </c>
      <c r="N188" s="722" t="s">
        <v>341</v>
      </c>
      <c r="O188" s="954" t="s">
        <v>89</v>
      </c>
      <c r="P188" s="809">
        <v>2.5000000000000001E-2</v>
      </c>
      <c r="Q188" s="719" t="s">
        <v>90</v>
      </c>
      <c r="R188" s="719">
        <v>1</v>
      </c>
      <c r="S188" s="719">
        <v>1</v>
      </c>
      <c r="T188" s="764" t="s">
        <v>151</v>
      </c>
      <c r="U188" s="223" t="s">
        <v>342</v>
      </c>
      <c r="V188" s="188">
        <v>0</v>
      </c>
      <c r="W188" s="188">
        <v>4</v>
      </c>
      <c r="X188" s="188"/>
      <c r="Y188" s="188"/>
      <c r="Z188" s="130">
        <f>+V188</f>
        <v>0</v>
      </c>
      <c r="AA188" s="130">
        <f>+V188+W188</f>
        <v>4</v>
      </c>
      <c r="AB188" s="130">
        <f>+V188+W188+X188</f>
        <v>4</v>
      </c>
      <c r="AC188" s="130">
        <f>+V188+W188+X188+Y188</f>
        <v>4</v>
      </c>
      <c r="AD188" s="965"/>
      <c r="AE188" s="962"/>
      <c r="AF188" s="962"/>
      <c r="AG188" s="962"/>
      <c r="AH188" s="996" t="s">
        <v>343</v>
      </c>
      <c r="AI188" s="996" t="s">
        <v>344</v>
      </c>
      <c r="AJ188" s="669" t="s">
        <v>94</v>
      </c>
      <c r="AK188" s="669"/>
      <c r="AL188" s="669"/>
      <c r="AM188" s="669"/>
      <c r="AN188" s="669" t="s">
        <v>94</v>
      </c>
      <c r="AO188" s="669"/>
      <c r="AP188" s="669"/>
      <c r="AQ188" s="669" t="s">
        <v>94</v>
      </c>
      <c r="AR188" s="669"/>
      <c r="AS188" s="669"/>
      <c r="AT188" s="190" t="s">
        <v>129</v>
      </c>
      <c r="AU188" s="203">
        <f t="shared" ref="AU188:BB188" si="154">+V190*$J$188</f>
        <v>0</v>
      </c>
      <c r="AV188" s="203">
        <f t="shared" si="154"/>
        <v>1</v>
      </c>
      <c r="AW188" s="203">
        <f t="shared" si="154"/>
        <v>0</v>
      </c>
      <c r="AX188" s="203">
        <f t="shared" si="154"/>
        <v>0</v>
      </c>
      <c r="AY188" s="203">
        <f t="shared" si="154"/>
        <v>0</v>
      </c>
      <c r="AZ188" s="203">
        <f t="shared" si="154"/>
        <v>1</v>
      </c>
      <c r="BA188" s="203">
        <f t="shared" si="154"/>
        <v>0.8</v>
      </c>
      <c r="BB188" s="203">
        <f t="shared" si="154"/>
        <v>0.79840319361277445</v>
      </c>
      <c r="BC188" s="579"/>
      <c r="BD188" s="582"/>
      <c r="BE188" s="191"/>
      <c r="BF188" s="192"/>
      <c r="BG188" s="193"/>
      <c r="BH188" s="193"/>
    </row>
    <row r="189" spans="1:60" s="227" customFormat="1" ht="90" customHeight="1" x14ac:dyDescent="0.2">
      <c r="A189" s="675"/>
      <c r="B189" s="664"/>
      <c r="C189" s="665"/>
      <c r="D189" s="1079"/>
      <c r="E189" s="879"/>
      <c r="F189" s="1070"/>
      <c r="G189" s="759"/>
      <c r="H189" s="759"/>
      <c r="I189" s="737"/>
      <c r="J189" s="759"/>
      <c r="K189" s="723"/>
      <c r="L189" s="737"/>
      <c r="M189" s="723"/>
      <c r="N189" s="723"/>
      <c r="O189" s="955"/>
      <c r="P189" s="810"/>
      <c r="Q189" s="719"/>
      <c r="R189" s="719"/>
      <c r="S189" s="719"/>
      <c r="T189" s="765"/>
      <c r="U189" s="224" t="s">
        <v>345</v>
      </c>
      <c r="V189" s="220">
        <v>1</v>
      </c>
      <c r="W189" s="170">
        <v>2</v>
      </c>
      <c r="X189" s="220">
        <v>2</v>
      </c>
      <c r="Y189" s="220">
        <v>0.01</v>
      </c>
      <c r="Z189" s="170">
        <f t="shared" ref="Z189" si="155">+V189</f>
        <v>1</v>
      </c>
      <c r="AA189" s="170">
        <f t="shared" ref="AA189" si="156">+V189+W189</f>
        <v>3</v>
      </c>
      <c r="AB189" s="170">
        <f t="shared" ref="AB189" si="157">+V189+W189+X189</f>
        <v>5</v>
      </c>
      <c r="AC189" s="229">
        <f t="shared" ref="AC189" si="158">+V189+W189+X189+Y189</f>
        <v>5.01</v>
      </c>
      <c r="AD189" s="965"/>
      <c r="AE189" s="962"/>
      <c r="AF189" s="962"/>
      <c r="AG189" s="962"/>
      <c r="AH189" s="996"/>
      <c r="AI189" s="996"/>
      <c r="AJ189" s="670"/>
      <c r="AK189" s="670"/>
      <c r="AL189" s="670"/>
      <c r="AM189" s="670"/>
      <c r="AN189" s="670"/>
      <c r="AO189" s="670"/>
      <c r="AP189" s="670"/>
      <c r="AQ189" s="670"/>
      <c r="AR189" s="670"/>
      <c r="AS189" s="670"/>
      <c r="AT189" s="190" t="s">
        <v>131</v>
      </c>
      <c r="AU189" s="203">
        <f>+AU188*$H$188</f>
        <v>0</v>
      </c>
      <c r="AV189" s="203">
        <f t="shared" ref="AV189:BB189" si="159">+AV188*$H$188</f>
        <v>0.5</v>
      </c>
      <c r="AW189" s="203">
        <f t="shared" si="159"/>
        <v>0</v>
      </c>
      <c r="AX189" s="203">
        <f t="shared" si="159"/>
        <v>0</v>
      </c>
      <c r="AY189" s="203">
        <f t="shared" si="159"/>
        <v>0</v>
      </c>
      <c r="AZ189" s="203">
        <f t="shared" si="159"/>
        <v>0.5</v>
      </c>
      <c r="BA189" s="203">
        <f t="shared" si="159"/>
        <v>0.4</v>
      </c>
      <c r="BB189" s="203">
        <f t="shared" si="159"/>
        <v>0.39920159680638723</v>
      </c>
      <c r="BC189" s="579"/>
      <c r="BD189" s="582"/>
      <c r="BE189" s="191"/>
      <c r="BF189" s="192"/>
      <c r="BG189" s="193"/>
      <c r="BH189" s="193"/>
    </row>
    <row r="190" spans="1:60" s="227" customFormat="1" ht="24.95" customHeight="1" thickBot="1" x14ac:dyDescent="0.25">
      <c r="A190" s="675"/>
      <c r="B190" s="664"/>
      <c r="C190" s="665"/>
      <c r="D190" s="1079"/>
      <c r="E190" s="879"/>
      <c r="F190" s="1070"/>
      <c r="G190" s="760"/>
      <c r="H190" s="760"/>
      <c r="I190" s="738"/>
      <c r="J190" s="760"/>
      <c r="K190" s="724"/>
      <c r="L190" s="738"/>
      <c r="M190" s="724"/>
      <c r="N190" s="724"/>
      <c r="O190" s="956"/>
      <c r="P190" s="811"/>
      <c r="Q190" s="719"/>
      <c r="R190" s="719"/>
      <c r="S190" s="719"/>
      <c r="T190" s="766"/>
      <c r="U190" s="170" t="s">
        <v>96</v>
      </c>
      <c r="V190" s="221">
        <f>IF((V188/V189)&lt;$I$8,(V188/V189),IF((V188/V189)&lt;$J$8,(V188/V189),IF((V188/V189)&lt;$J$9,(V188/V189),IF((V188/V189)&gt;=$J$9,$J$9))))</f>
        <v>0</v>
      </c>
      <c r="W190" s="221">
        <f t="shared" ref="W190:AC190" si="160">IF((W188/W189)&lt;$I$8,(W188/W189),IF((W188/W189)&lt;$J$8,(W188/W189),IF((W188/W189)&lt;$J$9,(W188/W189),IF((W188/W189)&gt;=$J$9,$J$9))))</f>
        <v>1</v>
      </c>
      <c r="X190" s="221">
        <f t="shared" si="160"/>
        <v>0</v>
      </c>
      <c r="Y190" s="131">
        <f t="shared" si="160"/>
        <v>0</v>
      </c>
      <c r="Z190" s="221">
        <f t="shared" si="160"/>
        <v>0</v>
      </c>
      <c r="AA190" s="221">
        <f t="shared" si="160"/>
        <v>1</v>
      </c>
      <c r="AB190" s="221">
        <f t="shared" si="160"/>
        <v>0.8</v>
      </c>
      <c r="AC190" s="131">
        <f t="shared" si="160"/>
        <v>0.79840319361277445</v>
      </c>
      <c r="AD190" s="966"/>
      <c r="AE190" s="963"/>
      <c r="AF190" s="963"/>
      <c r="AG190" s="963"/>
      <c r="AH190" s="996"/>
      <c r="AI190" s="996"/>
      <c r="AJ190" s="671"/>
      <c r="AK190" s="671"/>
      <c r="AL190" s="671"/>
      <c r="AM190" s="671"/>
      <c r="AN190" s="671"/>
      <c r="AO190" s="671"/>
      <c r="AP190" s="671"/>
      <c r="AQ190" s="671"/>
      <c r="AR190" s="671"/>
      <c r="AS190" s="671"/>
      <c r="AT190" s="190" t="s">
        <v>132</v>
      </c>
      <c r="AU190" s="575"/>
      <c r="AV190" s="576"/>
      <c r="AW190" s="576"/>
      <c r="AX190" s="576"/>
      <c r="AY190" s="576"/>
      <c r="AZ190" s="576"/>
      <c r="BA190" s="576"/>
      <c r="BB190" s="577"/>
      <c r="BC190" s="580"/>
      <c r="BD190" s="583"/>
      <c r="BE190" s="191"/>
      <c r="BF190" s="192"/>
      <c r="BG190" s="193"/>
      <c r="BH190" s="193"/>
    </row>
    <row r="191" spans="1:60" s="227" customFormat="1" ht="24.95" customHeight="1" x14ac:dyDescent="0.2">
      <c r="A191" s="668" t="s">
        <v>230</v>
      </c>
      <c r="B191" s="230"/>
      <c r="C191" s="665">
        <v>13</v>
      </c>
      <c r="D191" s="1079"/>
      <c r="E191" s="1069" t="s">
        <v>231</v>
      </c>
      <c r="F191" s="1070">
        <v>0.05</v>
      </c>
      <c r="G191" s="804" t="s">
        <v>346</v>
      </c>
      <c r="H191" s="758">
        <v>1</v>
      </c>
      <c r="I191" s="736" t="s">
        <v>347</v>
      </c>
      <c r="J191" s="915">
        <v>1</v>
      </c>
      <c r="K191" s="736" t="s">
        <v>348</v>
      </c>
      <c r="L191" s="736" t="s">
        <v>349</v>
      </c>
      <c r="M191" s="722" t="str">
        <f t="shared" ref="M191" si="161">CONCATENATE(U191,"/",U192)</f>
        <v>No. de audiencias realizadas en el periodo/No. de audiencias convocadas</v>
      </c>
      <c r="N191" s="722" t="s">
        <v>350</v>
      </c>
      <c r="O191" s="722" t="s">
        <v>89</v>
      </c>
      <c r="P191" s="809">
        <v>2.5000000000000001E-2</v>
      </c>
      <c r="Q191" s="758" t="s">
        <v>90</v>
      </c>
      <c r="R191" s="758">
        <v>1</v>
      </c>
      <c r="S191" s="758">
        <v>1</v>
      </c>
      <c r="T191" s="764" t="s">
        <v>151</v>
      </c>
      <c r="U191" s="223" t="s">
        <v>351</v>
      </c>
      <c r="V191" s="188"/>
      <c r="W191" s="188"/>
      <c r="X191" s="188"/>
      <c r="Y191" s="188"/>
      <c r="Z191" s="130"/>
      <c r="AA191" s="130"/>
      <c r="AB191" s="130"/>
      <c r="AC191" s="130"/>
      <c r="AD191" s="1067">
        <f>+AG191+AF191+AE191</f>
        <v>467104246</v>
      </c>
      <c r="AE191" s="997"/>
      <c r="AF191" s="1068">
        <v>467104246</v>
      </c>
      <c r="AG191" s="997"/>
      <c r="AH191" s="996" t="s">
        <v>271</v>
      </c>
      <c r="AI191" s="996" t="s">
        <v>271</v>
      </c>
      <c r="AJ191" s="672" t="s">
        <v>94</v>
      </c>
      <c r="AK191" s="669"/>
      <c r="AL191" s="669"/>
      <c r="AM191" s="669" t="s">
        <v>94</v>
      </c>
      <c r="AN191" s="669" t="s">
        <v>94</v>
      </c>
      <c r="AO191" s="669"/>
      <c r="AP191" s="669"/>
      <c r="AQ191" s="669" t="s">
        <v>94</v>
      </c>
      <c r="AR191" s="669"/>
      <c r="AS191" s="669"/>
      <c r="AT191" s="231" t="s">
        <v>129</v>
      </c>
      <c r="AU191" s="232">
        <f t="shared" ref="AU191:BB191" si="162">+V193*$J$188</f>
        <v>0</v>
      </c>
      <c r="AV191" s="232">
        <f t="shared" si="162"/>
        <v>0</v>
      </c>
      <c r="AW191" s="232">
        <f t="shared" si="162"/>
        <v>0</v>
      </c>
      <c r="AX191" s="232">
        <f t="shared" si="162"/>
        <v>0</v>
      </c>
      <c r="AY191" s="232">
        <f t="shared" si="162"/>
        <v>0</v>
      </c>
      <c r="AZ191" s="232">
        <f t="shared" si="162"/>
        <v>0</v>
      </c>
      <c r="BA191" s="232">
        <f t="shared" si="162"/>
        <v>0</v>
      </c>
      <c r="BB191" s="232">
        <f t="shared" si="162"/>
        <v>0</v>
      </c>
    </row>
    <row r="192" spans="1:60" s="227" customFormat="1" ht="24.95" customHeight="1" x14ac:dyDescent="0.2">
      <c r="A192" s="668"/>
      <c r="B192" s="230"/>
      <c r="C192" s="665"/>
      <c r="D192" s="1079"/>
      <c r="E192" s="1069"/>
      <c r="F192" s="1070"/>
      <c r="G192" s="804"/>
      <c r="H192" s="759"/>
      <c r="I192" s="737"/>
      <c r="J192" s="916"/>
      <c r="K192" s="737"/>
      <c r="L192" s="737"/>
      <c r="M192" s="723"/>
      <c r="N192" s="723"/>
      <c r="O192" s="723"/>
      <c r="P192" s="810"/>
      <c r="Q192" s="759"/>
      <c r="R192" s="759"/>
      <c r="S192" s="759"/>
      <c r="T192" s="765"/>
      <c r="U192" s="224" t="s">
        <v>352</v>
      </c>
      <c r="V192" s="220">
        <v>0.01</v>
      </c>
      <c r="W192" s="220">
        <v>0.01</v>
      </c>
      <c r="X192" s="220">
        <v>8</v>
      </c>
      <c r="Y192" s="220">
        <v>10</v>
      </c>
      <c r="Z192" s="220">
        <v>0.01</v>
      </c>
      <c r="AA192" s="220">
        <v>0.01</v>
      </c>
      <c r="AB192" s="220">
        <f t="shared" ref="AB192" si="163">+V192+W192+X192</f>
        <v>8.02</v>
      </c>
      <c r="AC192" s="220">
        <f t="shared" ref="AC192" si="164">+V192+W192+X192+Y192</f>
        <v>18.02</v>
      </c>
      <c r="AD192" s="1067"/>
      <c r="AE192" s="997"/>
      <c r="AF192" s="1068"/>
      <c r="AG192" s="997"/>
      <c r="AH192" s="996"/>
      <c r="AI192" s="996"/>
      <c r="AJ192" s="672"/>
      <c r="AK192" s="670"/>
      <c r="AL192" s="670"/>
      <c r="AM192" s="670"/>
      <c r="AN192" s="670"/>
      <c r="AO192" s="670"/>
      <c r="AP192" s="670"/>
      <c r="AQ192" s="670"/>
      <c r="AR192" s="670"/>
      <c r="AS192" s="670"/>
      <c r="AT192" s="231" t="s">
        <v>131</v>
      </c>
      <c r="AU192" s="232">
        <f>+AU191*$H$188</f>
        <v>0</v>
      </c>
      <c r="AV192" s="232">
        <f t="shared" ref="AV192:BB192" si="165">+AV191*$H$188</f>
        <v>0</v>
      </c>
      <c r="AW192" s="232">
        <f t="shared" si="165"/>
        <v>0</v>
      </c>
      <c r="AX192" s="232">
        <f t="shared" si="165"/>
        <v>0</v>
      </c>
      <c r="AY192" s="232">
        <f t="shared" si="165"/>
        <v>0</v>
      </c>
      <c r="AZ192" s="232">
        <f t="shared" si="165"/>
        <v>0</v>
      </c>
      <c r="BA192" s="232">
        <f t="shared" si="165"/>
        <v>0</v>
      </c>
      <c r="BB192" s="232">
        <f t="shared" si="165"/>
        <v>0</v>
      </c>
    </row>
    <row r="193" spans="1:60" s="227" customFormat="1" ht="24.95" customHeight="1" x14ac:dyDescent="0.2">
      <c r="A193" s="668"/>
      <c r="B193" s="230"/>
      <c r="C193" s="665"/>
      <c r="D193" s="1080"/>
      <c r="E193" s="1069"/>
      <c r="F193" s="1070"/>
      <c r="G193" s="804"/>
      <c r="H193" s="760"/>
      <c r="I193" s="738"/>
      <c r="J193" s="917"/>
      <c r="K193" s="738"/>
      <c r="L193" s="738"/>
      <c r="M193" s="724"/>
      <c r="N193" s="724"/>
      <c r="O193" s="724"/>
      <c r="P193" s="811"/>
      <c r="Q193" s="760"/>
      <c r="R193" s="760"/>
      <c r="S193" s="760"/>
      <c r="T193" s="766"/>
      <c r="U193" s="170" t="s">
        <v>96</v>
      </c>
      <c r="V193" s="131">
        <f t="shared" ref="V193:AC193" si="166">IF((V191/V192)&lt;$I$8,(V191/V192),IF((V191/V192)&lt;$J$8,(V191/V192),IF((V191/V192)&lt;$J$9,(V191/V192),IF((V191/V192)&gt;=$J$9,$J$9))))</f>
        <v>0</v>
      </c>
      <c r="W193" s="131">
        <f t="shared" si="166"/>
        <v>0</v>
      </c>
      <c r="X193" s="221">
        <f t="shared" si="166"/>
        <v>0</v>
      </c>
      <c r="Y193" s="221">
        <f t="shared" si="166"/>
        <v>0</v>
      </c>
      <c r="Z193" s="131">
        <f t="shared" si="166"/>
        <v>0</v>
      </c>
      <c r="AA193" s="131">
        <f t="shared" si="166"/>
        <v>0</v>
      </c>
      <c r="AB193" s="221">
        <f t="shared" si="166"/>
        <v>0</v>
      </c>
      <c r="AC193" s="221">
        <f t="shared" si="166"/>
        <v>0</v>
      </c>
      <c r="AD193" s="1067"/>
      <c r="AE193" s="997"/>
      <c r="AF193" s="1068"/>
      <c r="AG193" s="997"/>
      <c r="AH193" s="996"/>
      <c r="AI193" s="996"/>
      <c r="AJ193" s="672"/>
      <c r="AK193" s="671"/>
      <c r="AL193" s="671"/>
      <c r="AM193" s="671"/>
      <c r="AN193" s="671"/>
      <c r="AO193" s="671"/>
      <c r="AP193" s="671"/>
      <c r="AQ193" s="671"/>
      <c r="AR193" s="671"/>
      <c r="AS193" s="671"/>
      <c r="AT193" s="231" t="s">
        <v>132</v>
      </c>
      <c r="AU193" s="590"/>
      <c r="AV193" s="591"/>
      <c r="AW193" s="591"/>
      <c r="AX193" s="591"/>
      <c r="AY193" s="591"/>
      <c r="AZ193" s="591"/>
      <c r="BA193" s="591"/>
      <c r="BB193" s="592"/>
    </row>
    <row r="194" spans="1:60" s="242" customFormat="1" ht="24.95" hidden="1" customHeight="1" thickBot="1" x14ac:dyDescent="0.3">
      <c r="A194" s="139"/>
      <c r="B194" s="177"/>
      <c r="C194" s="178">
        <f>+C191+C142</f>
        <v>30</v>
      </c>
      <c r="D194" s="144"/>
      <c r="E194" s="67"/>
      <c r="F194" s="233"/>
      <c r="G194" s="233"/>
      <c r="H194" s="233"/>
      <c r="I194" s="234"/>
      <c r="J194" s="235"/>
      <c r="K194" s="234"/>
      <c r="L194" s="234"/>
      <c r="M194" s="234"/>
      <c r="N194" s="234"/>
      <c r="O194" s="234"/>
      <c r="P194" s="233"/>
      <c r="Q194" s="233"/>
      <c r="R194" s="233"/>
      <c r="S194" s="233"/>
      <c r="T194" s="233"/>
      <c r="U194" s="236"/>
      <c r="V194" s="184"/>
      <c r="W194" s="184"/>
      <c r="X194" s="184"/>
      <c r="Y194" s="184"/>
      <c r="Z194" s="184"/>
      <c r="AA194" s="184"/>
      <c r="AB194" s="184"/>
      <c r="AC194" s="184"/>
      <c r="AD194" s="237"/>
      <c r="AE194" s="184"/>
      <c r="AF194" s="184"/>
      <c r="AG194" s="184"/>
      <c r="AH194" s="184"/>
      <c r="AI194" s="180"/>
      <c r="AJ194" s="145">
        <f>COUNTA(AJ155:AJ193)</f>
        <v>13</v>
      </c>
      <c r="AK194" s="145">
        <f t="shared" ref="AK194:AS194" si="167">COUNTA(AK155:AK193)</f>
        <v>9</v>
      </c>
      <c r="AL194" s="145">
        <f t="shared" si="167"/>
        <v>0</v>
      </c>
      <c r="AM194" s="145">
        <f t="shared" si="167"/>
        <v>10</v>
      </c>
      <c r="AN194" s="145">
        <f t="shared" si="167"/>
        <v>11</v>
      </c>
      <c r="AO194" s="145">
        <f t="shared" si="167"/>
        <v>2</v>
      </c>
      <c r="AP194" s="145">
        <f t="shared" si="167"/>
        <v>0</v>
      </c>
      <c r="AQ194" s="145">
        <f t="shared" si="167"/>
        <v>10</v>
      </c>
      <c r="AR194" s="145">
        <f t="shared" si="167"/>
        <v>1</v>
      </c>
      <c r="AS194" s="145">
        <f t="shared" si="167"/>
        <v>2</v>
      </c>
      <c r="AT194" s="180"/>
      <c r="AU194" s="238">
        <f>+AU157+AU187</f>
        <v>0</v>
      </c>
      <c r="AV194" s="238">
        <f t="shared" ref="AV194:BB194" si="168">+AV157+AV187</f>
        <v>2.5000000000000001E-2</v>
      </c>
      <c r="AW194" s="238">
        <f t="shared" si="168"/>
        <v>0</v>
      </c>
      <c r="AX194" s="239">
        <f t="shared" si="168"/>
        <v>0</v>
      </c>
      <c r="AY194" s="240">
        <f t="shared" si="168"/>
        <v>0</v>
      </c>
      <c r="AZ194" s="241">
        <f t="shared" si="168"/>
        <v>2.5000000000000001E-2</v>
      </c>
      <c r="BA194" s="238">
        <f t="shared" si="168"/>
        <v>2.0000000000000004E-2</v>
      </c>
      <c r="BB194" s="238">
        <f t="shared" si="168"/>
        <v>1.9960079840319361E-2</v>
      </c>
      <c r="BC194" s="184"/>
      <c r="BD194" s="184"/>
      <c r="BE194" s="191"/>
      <c r="BF194" s="192"/>
      <c r="BG194" s="193"/>
      <c r="BH194" s="193"/>
    </row>
    <row r="195" spans="1:60" s="159" customFormat="1" ht="20.100000000000001" hidden="1" customHeight="1" x14ac:dyDescent="0.25">
      <c r="A195" s="44"/>
      <c r="B195" s="151"/>
      <c r="C195" s="152"/>
      <c r="D195" s="153"/>
      <c r="E195" s="153"/>
      <c r="F195" s="154"/>
      <c r="G195" s="154"/>
      <c r="H195" s="154"/>
      <c r="I195" s="155"/>
      <c r="J195" s="154"/>
      <c r="K195" s="155"/>
      <c r="L195" s="155"/>
      <c r="M195" s="155"/>
      <c r="N195" s="155"/>
      <c r="O195" s="155"/>
      <c r="P195" s="155"/>
      <c r="Q195" s="646" t="s">
        <v>154</v>
      </c>
      <c r="R195" s="646"/>
      <c r="S195" s="646"/>
      <c r="T195" s="646"/>
      <c r="U195" s="646"/>
      <c r="V195" s="156">
        <v>11</v>
      </c>
      <c r="W195" s="156">
        <v>12</v>
      </c>
      <c r="X195" s="156">
        <v>13</v>
      </c>
      <c r="Y195" s="156">
        <f>+C191</f>
        <v>13</v>
      </c>
      <c r="Z195" s="157"/>
      <c r="AA195" s="157"/>
      <c r="AB195" s="157"/>
      <c r="AC195" s="157"/>
      <c r="AD195" s="158"/>
      <c r="AE195" s="157"/>
      <c r="AF195" s="157"/>
      <c r="AG195" s="157"/>
      <c r="AH195" s="157"/>
      <c r="AI195" s="157"/>
      <c r="AJ195" s="157"/>
      <c r="AK195" s="157"/>
      <c r="AL195" s="157"/>
      <c r="AM195" s="157"/>
      <c r="AN195" s="157"/>
      <c r="AO195" s="157"/>
      <c r="AP195" s="157"/>
      <c r="AQ195" s="157"/>
      <c r="AR195" s="157"/>
      <c r="AS195" s="157"/>
      <c r="AT195" s="157"/>
      <c r="AU195" s="49"/>
      <c r="AV195" s="49"/>
      <c r="AW195" s="49"/>
      <c r="AX195" s="49"/>
      <c r="AY195" s="49"/>
      <c r="AZ195" s="49"/>
      <c r="BA195" s="49"/>
      <c r="BB195" s="49"/>
      <c r="BC195" s="49"/>
      <c r="BD195" s="49"/>
      <c r="BE195" s="47"/>
      <c r="BF195" s="94"/>
      <c r="BG195" s="95"/>
      <c r="BH195" s="95"/>
    </row>
    <row r="196" spans="1:60" ht="20.100000000000001" hidden="1" customHeight="1" x14ac:dyDescent="0.25">
      <c r="A196" s="44"/>
      <c r="B196" s="151"/>
      <c r="C196" s="152"/>
      <c r="D196" s="153"/>
      <c r="E196" s="243"/>
      <c r="F196" s="154"/>
      <c r="G196" s="154"/>
      <c r="H196" s="154"/>
      <c r="I196" s="155"/>
      <c r="J196" s="154"/>
      <c r="K196" s="155"/>
      <c r="L196" s="155"/>
      <c r="M196" s="155"/>
      <c r="N196" s="155"/>
      <c r="O196" s="155"/>
      <c r="P196" s="155"/>
      <c r="Q196" s="646" t="s">
        <v>155</v>
      </c>
      <c r="R196" s="646"/>
      <c r="S196" s="646"/>
      <c r="T196" s="646"/>
      <c r="U196" s="646"/>
      <c r="V196" s="161">
        <v>11</v>
      </c>
      <c r="W196" s="161">
        <v>5</v>
      </c>
      <c r="X196" s="161"/>
      <c r="Y196" s="161"/>
      <c r="Z196" s="157"/>
      <c r="AA196" s="157"/>
      <c r="AB196" s="157"/>
      <c r="AC196" s="157"/>
      <c r="AD196" s="158"/>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47"/>
      <c r="BF196" s="94"/>
      <c r="BG196" s="95"/>
      <c r="BH196" s="95"/>
    </row>
    <row r="197" spans="1:60" ht="20.100000000000001" hidden="1" customHeight="1" x14ac:dyDescent="0.25">
      <c r="A197" s="44"/>
      <c r="B197" s="151"/>
      <c r="C197" s="152"/>
      <c r="D197" s="153"/>
      <c r="E197" s="153"/>
      <c r="F197" s="154"/>
      <c r="G197" s="154"/>
      <c r="H197" s="154"/>
      <c r="I197" s="155"/>
      <c r="J197" s="154"/>
      <c r="K197" s="155"/>
      <c r="L197" s="155"/>
      <c r="M197" s="155"/>
      <c r="N197" s="155"/>
      <c r="O197" s="155"/>
      <c r="P197" s="155"/>
      <c r="Q197" s="646" t="s">
        <v>156</v>
      </c>
      <c r="R197" s="646"/>
      <c r="S197" s="646"/>
      <c r="T197" s="646"/>
      <c r="U197" s="646"/>
      <c r="V197" s="161">
        <v>9</v>
      </c>
      <c r="W197" s="161">
        <v>5</v>
      </c>
      <c r="X197" s="161"/>
      <c r="Y197" s="161"/>
      <c r="Z197" s="157"/>
      <c r="AA197" s="157"/>
      <c r="AB197" s="157"/>
      <c r="AC197" s="157"/>
      <c r="AD197" s="158"/>
      <c r="AE197" s="157"/>
      <c r="AF197" s="157"/>
      <c r="AG197" s="157"/>
      <c r="AH197" s="157"/>
      <c r="AI197" s="157"/>
      <c r="AJ197" s="157"/>
      <c r="AK197" s="157"/>
      <c r="AL197" s="157"/>
      <c r="AM197" s="157"/>
      <c r="AN197" s="157"/>
      <c r="AO197" s="157"/>
      <c r="AP197" s="157"/>
      <c r="AQ197" s="157"/>
      <c r="AR197" s="157"/>
      <c r="AS197" s="157"/>
      <c r="AT197" s="157"/>
      <c r="AU197" s="48"/>
      <c r="AV197" s="48"/>
      <c r="AW197" s="48"/>
      <c r="AX197" s="48"/>
      <c r="AY197" s="48"/>
      <c r="AZ197" s="48"/>
      <c r="BA197" s="48"/>
      <c r="BB197" s="48"/>
      <c r="BC197" s="48"/>
      <c r="BD197" s="48"/>
      <c r="BE197" s="47"/>
      <c r="BF197" s="94"/>
      <c r="BG197" s="95"/>
      <c r="BH197" s="95"/>
    </row>
    <row r="198" spans="1:60" ht="20.100000000000001" hidden="1" customHeight="1" x14ac:dyDescent="0.25">
      <c r="A198" s="44"/>
      <c r="B198" s="151"/>
      <c r="C198" s="152"/>
      <c r="D198" s="153"/>
      <c r="E198" s="153"/>
      <c r="F198" s="154"/>
      <c r="G198" s="154"/>
      <c r="H198" s="154"/>
      <c r="I198" s="155"/>
      <c r="J198" s="154"/>
      <c r="K198" s="155"/>
      <c r="L198" s="155"/>
      <c r="M198" s="155"/>
      <c r="N198" s="155"/>
      <c r="O198" s="155"/>
      <c r="P198" s="155"/>
      <c r="Q198" s="646" t="s">
        <v>157</v>
      </c>
      <c r="R198" s="646"/>
      <c r="S198" s="646"/>
      <c r="T198" s="646"/>
      <c r="U198" s="647"/>
      <c r="V198" s="161">
        <f>+V195-V196</f>
        <v>0</v>
      </c>
      <c r="W198" s="161">
        <f>+W195-W196</f>
        <v>7</v>
      </c>
      <c r="X198" s="161">
        <f>+X195-X196</f>
        <v>13</v>
      </c>
      <c r="Y198" s="161">
        <f>+Y195-Y196</f>
        <v>13</v>
      </c>
      <c r="Z198" s="157"/>
      <c r="AA198" s="157"/>
      <c r="AB198" s="157"/>
      <c r="AC198" s="157"/>
      <c r="AD198" s="158"/>
      <c r="AE198" s="157"/>
      <c r="AF198" s="157"/>
      <c r="AG198" s="157"/>
      <c r="AH198" s="157"/>
      <c r="AI198" s="157"/>
      <c r="AJ198" s="157"/>
      <c r="AK198" s="157"/>
      <c r="AL198" s="157"/>
      <c r="AM198" s="157"/>
      <c r="AN198" s="157"/>
      <c r="AO198" s="157"/>
      <c r="AP198" s="157"/>
      <c r="AQ198" s="157"/>
      <c r="AR198" s="157"/>
      <c r="AS198" s="157"/>
      <c r="AT198" s="157"/>
      <c r="AU198" s="48"/>
      <c r="AV198" s="48"/>
      <c r="AW198" s="48"/>
      <c r="AX198" s="48"/>
      <c r="AY198" s="48"/>
      <c r="AZ198" s="48"/>
      <c r="BA198" s="48"/>
      <c r="BB198" s="48"/>
      <c r="BC198" s="48"/>
      <c r="BD198" s="48"/>
      <c r="BE198" s="47"/>
      <c r="BF198" s="94"/>
      <c r="BG198" s="95"/>
      <c r="BH198" s="95"/>
    </row>
    <row r="199" spans="1:60" ht="20.100000000000001" hidden="1" customHeight="1" x14ac:dyDescent="0.25">
      <c r="A199" s="44"/>
      <c r="B199" s="151"/>
      <c r="C199" s="152"/>
      <c r="D199" s="153"/>
      <c r="E199" s="153"/>
      <c r="F199" s="154"/>
      <c r="G199" s="154"/>
      <c r="H199" s="154"/>
      <c r="I199" s="155"/>
      <c r="J199" s="154"/>
      <c r="K199" s="155"/>
      <c r="L199" s="155"/>
      <c r="M199" s="155"/>
      <c r="N199" s="155"/>
      <c r="O199" s="155"/>
      <c r="P199" s="155"/>
      <c r="Q199" s="646" t="s">
        <v>158</v>
      </c>
      <c r="R199" s="646"/>
      <c r="S199" s="646"/>
      <c r="T199" s="646"/>
      <c r="U199" s="646"/>
      <c r="V199" s="156">
        <f>+V195</f>
        <v>11</v>
      </c>
      <c r="W199" s="156">
        <f>+W195</f>
        <v>12</v>
      </c>
      <c r="X199" s="156">
        <f>+X195</f>
        <v>13</v>
      </c>
      <c r="Y199" s="156">
        <f>+Y195</f>
        <v>13</v>
      </c>
      <c r="Z199" s="157"/>
      <c r="AA199" s="157"/>
      <c r="AB199" s="157"/>
      <c r="AC199" s="157"/>
      <c r="AD199" s="158"/>
      <c r="AE199" s="157"/>
      <c r="AF199" s="157"/>
      <c r="AG199" s="157"/>
      <c r="AH199" s="157"/>
      <c r="AI199" s="157"/>
      <c r="AJ199" s="157"/>
      <c r="AK199" s="157"/>
      <c r="AL199" s="157"/>
      <c r="AM199" s="157"/>
      <c r="AN199" s="157"/>
      <c r="AO199" s="157"/>
      <c r="AP199" s="157"/>
      <c r="AQ199" s="157"/>
      <c r="AR199" s="157"/>
      <c r="AS199" s="157"/>
      <c r="AT199" s="157"/>
      <c r="AU199" s="48"/>
      <c r="AV199" s="48"/>
      <c r="AW199" s="48"/>
      <c r="AX199" s="48"/>
      <c r="AY199" s="48"/>
      <c r="AZ199" s="48"/>
      <c r="BA199" s="48"/>
      <c r="BB199" s="48"/>
      <c r="BC199" s="48"/>
      <c r="BD199" s="48"/>
      <c r="BE199" s="47"/>
      <c r="BF199" s="94"/>
      <c r="BG199" s="95"/>
      <c r="BH199" s="95"/>
    </row>
    <row r="200" spans="1:60" ht="20.100000000000001" hidden="1" customHeight="1" x14ac:dyDescent="0.25">
      <c r="A200" s="44"/>
      <c r="B200" s="151"/>
      <c r="C200" s="152"/>
      <c r="D200" s="153"/>
      <c r="E200" s="153"/>
      <c r="F200" s="154"/>
      <c r="G200" s="154"/>
      <c r="H200" s="154"/>
      <c r="I200" s="155"/>
      <c r="J200" s="154"/>
      <c r="K200" s="155"/>
      <c r="L200" s="155"/>
      <c r="M200" s="155"/>
      <c r="N200" s="155"/>
      <c r="O200" s="155"/>
      <c r="P200" s="155"/>
      <c r="Q200" s="646" t="s">
        <v>159</v>
      </c>
      <c r="R200" s="646"/>
      <c r="S200" s="646"/>
      <c r="T200" s="646"/>
      <c r="U200" s="646"/>
      <c r="V200" s="161">
        <v>5</v>
      </c>
      <c r="W200" s="161">
        <v>7</v>
      </c>
      <c r="X200" s="161"/>
      <c r="Y200" s="161"/>
      <c r="Z200" s="157"/>
      <c r="AA200" s="157"/>
      <c r="AB200" s="157"/>
      <c r="AC200" s="157"/>
      <c r="AD200" s="158"/>
      <c r="AE200" s="157"/>
      <c r="AF200" s="157"/>
      <c r="AG200" s="157"/>
      <c r="AH200" s="157"/>
      <c r="AI200" s="157"/>
      <c r="AJ200" s="157"/>
      <c r="AK200" s="157"/>
      <c r="AL200" s="157"/>
      <c r="AM200" s="157"/>
      <c r="AN200" s="157"/>
      <c r="AO200" s="157"/>
      <c r="AP200" s="157"/>
      <c r="AQ200" s="157"/>
      <c r="AR200" s="157"/>
      <c r="AS200" s="157"/>
      <c r="AT200" s="157"/>
      <c r="AU200" s="48"/>
      <c r="AV200" s="48"/>
      <c r="AW200" s="48"/>
      <c r="AX200" s="48"/>
      <c r="AY200" s="48"/>
      <c r="AZ200" s="48"/>
      <c r="BA200" s="48"/>
      <c r="BB200" s="48"/>
      <c r="BC200" s="48"/>
      <c r="BD200" s="48"/>
      <c r="BE200" s="47"/>
      <c r="BF200" s="94"/>
      <c r="BG200" s="95"/>
      <c r="BH200" s="95"/>
    </row>
    <row r="201" spans="1:60" ht="15" hidden="1" customHeight="1" x14ac:dyDescent="0.25">
      <c r="A201" s="79"/>
      <c r="B201" s="80"/>
      <c r="C201" s="88"/>
      <c r="D201" s="82"/>
      <c r="E201" s="82"/>
      <c r="F201" s="46"/>
      <c r="G201" s="46"/>
      <c r="H201" s="46"/>
      <c r="I201" s="46"/>
      <c r="J201" s="83"/>
      <c r="K201" s="46"/>
      <c r="L201" s="46"/>
      <c r="M201" s="46"/>
      <c r="N201" s="46"/>
      <c r="O201" s="46"/>
      <c r="P201" s="46"/>
      <c r="Q201" s="46"/>
      <c r="R201" s="46"/>
      <c r="S201" s="46"/>
      <c r="T201" s="46"/>
      <c r="U201" s="46"/>
      <c r="V201" s="73"/>
      <c r="W201" s="73"/>
      <c r="X201" s="73"/>
      <c r="Y201" s="73"/>
      <c r="Z201" s="46"/>
      <c r="AA201" s="46"/>
      <c r="AB201" s="46"/>
      <c r="AC201" s="46"/>
      <c r="AD201" s="47"/>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7"/>
      <c r="BF201" s="94"/>
      <c r="BG201" s="95"/>
      <c r="BH201" s="95"/>
    </row>
    <row r="202" spans="1:60" ht="20.100000000000001" hidden="1" customHeight="1" x14ac:dyDescent="0.25">
      <c r="A202" s="79"/>
      <c r="B202" s="80"/>
      <c r="C202" s="85"/>
      <c r="D202" s="109" t="s">
        <v>103</v>
      </c>
      <c r="E202" s="82"/>
      <c r="F202" s="46"/>
      <c r="G202" s="46"/>
      <c r="H202" s="46"/>
      <c r="I202" s="46"/>
      <c r="J202" s="83"/>
      <c r="K202" s="46"/>
      <c r="L202" s="46"/>
      <c r="M202" s="46"/>
      <c r="N202" s="46"/>
      <c r="O202" s="46"/>
      <c r="P202" s="46"/>
      <c r="Q202" s="46"/>
      <c r="R202" s="46"/>
      <c r="S202" s="46"/>
      <c r="T202" s="46"/>
      <c r="U202" s="46"/>
      <c r="V202" s="42"/>
      <c r="W202" s="46"/>
      <c r="X202" s="46"/>
      <c r="Y202" s="46"/>
      <c r="Z202" s="46"/>
      <c r="AA202" s="46"/>
      <c r="AB202" s="46"/>
      <c r="AC202" s="46"/>
      <c r="AD202" s="47"/>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9"/>
    </row>
    <row r="203" spans="1:60" s="38" customFormat="1" ht="20.100000000000001" customHeight="1" x14ac:dyDescent="0.25">
      <c r="A203" s="207"/>
      <c r="B203" s="208"/>
      <c r="C203" s="209"/>
      <c r="D203" s="1000" t="s">
        <v>24</v>
      </c>
      <c r="E203" s="1000"/>
      <c r="F203" s="1000"/>
      <c r="G203" s="1000"/>
      <c r="H203" s="1000"/>
      <c r="I203" s="1000"/>
      <c r="J203" s="1000"/>
      <c r="K203" s="1000"/>
      <c r="L203" s="1000"/>
      <c r="M203" s="1000"/>
      <c r="N203" s="1000"/>
      <c r="O203" s="1000"/>
      <c r="P203" s="1000"/>
      <c r="Q203" s="1000"/>
      <c r="R203" s="1000"/>
      <c r="S203" s="1000"/>
      <c r="T203" s="1000"/>
      <c r="U203" s="1000"/>
      <c r="V203" s="1000"/>
      <c r="W203" s="1000"/>
      <c r="X203" s="1000"/>
      <c r="Y203" s="1000"/>
      <c r="Z203" s="1000"/>
      <c r="AA203" s="1000"/>
      <c r="AB203" s="1000"/>
      <c r="AC203" s="1000"/>
      <c r="AD203" s="1000"/>
      <c r="AE203" s="1000"/>
      <c r="AF203" s="1000"/>
      <c r="AG203" s="1000"/>
      <c r="AH203" s="1000"/>
      <c r="AI203" s="1000"/>
      <c r="AJ203" s="1000"/>
      <c r="AK203" s="1000"/>
      <c r="AL203" s="1000"/>
      <c r="AM203" s="1000"/>
      <c r="AN203" s="1000"/>
      <c r="AO203" s="1000"/>
      <c r="AP203" s="1000"/>
      <c r="AQ203" s="1000"/>
      <c r="AR203" s="1000"/>
      <c r="AS203" s="1000"/>
      <c r="AT203" s="561" t="s">
        <v>104</v>
      </c>
      <c r="AU203" s="563"/>
      <c r="AV203" s="563"/>
      <c r="AW203" s="563"/>
      <c r="AX203" s="563"/>
      <c r="AY203" s="563"/>
      <c r="AZ203" s="563"/>
      <c r="BA203" s="563"/>
      <c r="BB203" s="562"/>
      <c r="BC203" s="561" t="s">
        <v>105</v>
      </c>
      <c r="BD203" s="562"/>
      <c r="BE203" s="35"/>
      <c r="BF203" s="32"/>
      <c r="BG203" s="210"/>
      <c r="BH203" s="210"/>
    </row>
    <row r="204" spans="1:60" ht="15" customHeight="1" x14ac:dyDescent="0.25">
      <c r="A204" s="79"/>
      <c r="B204" s="80"/>
      <c r="C204" s="85"/>
      <c r="D204" s="691" t="s">
        <v>106</v>
      </c>
      <c r="E204" s="691" t="s">
        <v>107</v>
      </c>
      <c r="F204" s="711" t="s">
        <v>108</v>
      </c>
      <c r="G204" s="691" t="s">
        <v>109</v>
      </c>
      <c r="H204" s="711" t="s">
        <v>110</v>
      </c>
      <c r="I204" s="691" t="s">
        <v>51</v>
      </c>
      <c r="J204" s="712" t="s">
        <v>111</v>
      </c>
      <c r="K204" s="691" t="s">
        <v>52</v>
      </c>
      <c r="L204" s="691"/>
      <c r="M204" s="691"/>
      <c r="N204" s="691" t="s">
        <v>53</v>
      </c>
      <c r="O204" s="691" t="s">
        <v>54</v>
      </c>
      <c r="P204" s="703" t="s">
        <v>55</v>
      </c>
      <c r="Q204" s="703" t="s">
        <v>56</v>
      </c>
      <c r="R204" s="703" t="s">
        <v>57</v>
      </c>
      <c r="S204" s="703" t="s">
        <v>58</v>
      </c>
      <c r="T204" s="703" t="s">
        <v>59</v>
      </c>
      <c r="U204" s="691" t="s">
        <v>60</v>
      </c>
      <c r="V204" s="691"/>
      <c r="W204" s="691"/>
      <c r="X204" s="691"/>
      <c r="Y204" s="691"/>
      <c r="Z204" s="704" t="s">
        <v>61</v>
      </c>
      <c r="AA204" s="705"/>
      <c r="AB204" s="705"/>
      <c r="AC204" s="706"/>
      <c r="AD204" s="707" t="s">
        <v>62</v>
      </c>
      <c r="AE204" s="708"/>
      <c r="AF204" s="709"/>
      <c r="AG204" s="695" t="s">
        <v>63</v>
      </c>
      <c r="AH204" s="695" t="s">
        <v>64</v>
      </c>
      <c r="AI204" s="695" t="s">
        <v>65</v>
      </c>
      <c r="AJ204" s="691" t="s">
        <v>66</v>
      </c>
      <c r="AK204" s="691"/>
      <c r="AL204" s="691"/>
      <c r="AM204" s="691"/>
      <c r="AN204" s="691"/>
      <c r="AO204" s="691"/>
      <c r="AP204" s="691"/>
      <c r="AQ204" s="691"/>
      <c r="AR204" s="691"/>
      <c r="AS204" s="691"/>
      <c r="AT204" s="558" t="s">
        <v>60</v>
      </c>
      <c r="AU204" s="569" t="s">
        <v>112</v>
      </c>
      <c r="AV204" s="570"/>
      <c r="AW204" s="570"/>
      <c r="AX204" s="571"/>
      <c r="AY204" s="569" t="s">
        <v>113</v>
      </c>
      <c r="AZ204" s="570"/>
      <c r="BA204" s="570"/>
      <c r="BB204" s="571"/>
      <c r="BC204" s="584" t="s">
        <v>114</v>
      </c>
      <c r="BD204" s="587" t="s">
        <v>102</v>
      </c>
      <c r="BE204" s="48"/>
      <c r="BF204" s="49"/>
    </row>
    <row r="205" spans="1:60" ht="15" customHeight="1" x14ac:dyDescent="0.25">
      <c r="A205" s="79"/>
      <c r="B205" s="80"/>
      <c r="C205" s="85"/>
      <c r="D205" s="691"/>
      <c r="E205" s="691"/>
      <c r="F205" s="711"/>
      <c r="G205" s="691"/>
      <c r="H205" s="711"/>
      <c r="I205" s="691"/>
      <c r="J205" s="712"/>
      <c r="K205" s="691"/>
      <c r="L205" s="691"/>
      <c r="M205" s="691"/>
      <c r="N205" s="691"/>
      <c r="O205" s="691"/>
      <c r="P205" s="703"/>
      <c r="Q205" s="703"/>
      <c r="R205" s="703"/>
      <c r="S205" s="703"/>
      <c r="T205" s="703"/>
      <c r="U205" s="691" t="s">
        <v>67</v>
      </c>
      <c r="V205" s="691"/>
      <c r="W205" s="691"/>
      <c r="X205" s="691"/>
      <c r="Y205" s="691"/>
      <c r="Z205" s="692" t="s">
        <v>67</v>
      </c>
      <c r="AA205" s="693"/>
      <c r="AB205" s="693"/>
      <c r="AC205" s="694"/>
      <c r="AD205" s="695" t="s">
        <v>68</v>
      </c>
      <c r="AE205" s="695" t="s">
        <v>69</v>
      </c>
      <c r="AF205" s="695" t="s">
        <v>70</v>
      </c>
      <c r="AG205" s="696"/>
      <c r="AH205" s="696"/>
      <c r="AI205" s="696"/>
      <c r="AJ205" s="691"/>
      <c r="AK205" s="691"/>
      <c r="AL205" s="691"/>
      <c r="AM205" s="691"/>
      <c r="AN205" s="691"/>
      <c r="AO205" s="691"/>
      <c r="AP205" s="691"/>
      <c r="AQ205" s="691"/>
      <c r="AR205" s="691"/>
      <c r="AS205" s="691"/>
      <c r="AT205" s="559"/>
      <c r="AU205" s="572"/>
      <c r="AV205" s="573"/>
      <c r="AW205" s="573"/>
      <c r="AX205" s="574"/>
      <c r="AY205" s="572"/>
      <c r="AZ205" s="573"/>
      <c r="BA205" s="573"/>
      <c r="BB205" s="574"/>
      <c r="BC205" s="585"/>
      <c r="BD205" s="588"/>
      <c r="BE205" s="48"/>
      <c r="BF205" s="49"/>
    </row>
    <row r="206" spans="1:60" s="95" customFormat="1" ht="24" customHeight="1" thickBot="1" x14ac:dyDescent="0.3">
      <c r="A206" s="86"/>
      <c r="B206" s="87"/>
      <c r="C206" s="88"/>
      <c r="D206" s="691"/>
      <c r="E206" s="691"/>
      <c r="F206" s="711"/>
      <c r="G206" s="691"/>
      <c r="H206" s="711"/>
      <c r="I206" s="691"/>
      <c r="J206" s="712"/>
      <c r="K206" s="89" t="s">
        <v>71</v>
      </c>
      <c r="L206" s="89" t="s">
        <v>115</v>
      </c>
      <c r="M206" s="89" t="s">
        <v>72</v>
      </c>
      <c r="N206" s="691"/>
      <c r="O206" s="691"/>
      <c r="P206" s="703"/>
      <c r="Q206" s="703"/>
      <c r="R206" s="703"/>
      <c r="S206" s="703"/>
      <c r="T206" s="703"/>
      <c r="U206" s="90" t="s">
        <v>73</v>
      </c>
      <c r="V206" s="89">
        <v>1</v>
      </c>
      <c r="W206" s="91">
        <v>2</v>
      </c>
      <c r="X206" s="91">
        <v>3</v>
      </c>
      <c r="Y206" s="110">
        <v>4</v>
      </c>
      <c r="Z206" s="162">
        <v>1</v>
      </c>
      <c r="AA206" s="110">
        <v>2</v>
      </c>
      <c r="AB206" s="110">
        <v>3</v>
      </c>
      <c r="AC206" s="110">
        <v>4</v>
      </c>
      <c r="AD206" s="696"/>
      <c r="AE206" s="696"/>
      <c r="AF206" s="696"/>
      <c r="AG206" s="696"/>
      <c r="AH206" s="696"/>
      <c r="AI206" s="697"/>
      <c r="AJ206" s="89" t="s">
        <v>74</v>
      </c>
      <c r="AK206" s="91" t="s">
        <v>75</v>
      </c>
      <c r="AL206" s="91" t="s">
        <v>76</v>
      </c>
      <c r="AM206" s="91" t="s">
        <v>77</v>
      </c>
      <c r="AN206" s="92" t="s">
        <v>78</v>
      </c>
      <c r="AO206" s="92" t="s">
        <v>79</v>
      </c>
      <c r="AP206" s="92" t="s">
        <v>80</v>
      </c>
      <c r="AQ206" s="92" t="s">
        <v>81</v>
      </c>
      <c r="AR206" s="93" t="s">
        <v>82</v>
      </c>
      <c r="AS206" s="93" t="s">
        <v>83</v>
      </c>
      <c r="AT206" s="560"/>
      <c r="AU206" s="217" t="s">
        <v>116</v>
      </c>
      <c r="AV206" s="217" t="s">
        <v>117</v>
      </c>
      <c r="AW206" s="217" t="s">
        <v>118</v>
      </c>
      <c r="AX206" s="217" t="s">
        <v>119</v>
      </c>
      <c r="AY206" s="217" t="s">
        <v>116</v>
      </c>
      <c r="AZ206" s="217" t="s">
        <v>117</v>
      </c>
      <c r="BA206" s="217" t="s">
        <v>118</v>
      </c>
      <c r="BB206" s="217" t="s">
        <v>119</v>
      </c>
      <c r="BC206" s="586"/>
      <c r="BD206" s="589"/>
      <c r="BE206" s="48"/>
      <c r="BF206" s="49"/>
    </row>
    <row r="207" spans="1:60" s="168" customFormat="1" ht="45" customHeight="1" x14ac:dyDescent="0.25">
      <c r="A207" s="1064"/>
      <c r="B207" s="664"/>
      <c r="C207" s="665">
        <v>1</v>
      </c>
      <c r="D207" s="1066" t="s">
        <v>24</v>
      </c>
      <c r="E207" s="1062" t="s">
        <v>353</v>
      </c>
      <c r="F207" s="824">
        <v>0.91</v>
      </c>
      <c r="G207" s="733" t="s">
        <v>354</v>
      </c>
      <c r="H207" s="719">
        <v>0.3</v>
      </c>
      <c r="I207" s="733" t="s">
        <v>355</v>
      </c>
      <c r="J207" s="925">
        <v>1</v>
      </c>
      <c r="K207" s="733" t="s">
        <v>356</v>
      </c>
      <c r="L207" s="733" t="s">
        <v>357</v>
      </c>
      <c r="M207" s="733" t="str">
        <f>CONCATENATE(U207,$U$32,U208)</f>
        <v xml:space="preserve">% de recursos identificados para distribución  / % esperado de recursos identificados para distribución  </v>
      </c>
      <c r="N207" s="733" t="s">
        <v>358</v>
      </c>
      <c r="O207" s="804" t="s">
        <v>359</v>
      </c>
      <c r="P207" s="719">
        <v>0.7</v>
      </c>
      <c r="Q207" s="925">
        <v>0.77</v>
      </c>
      <c r="R207" s="925">
        <v>1</v>
      </c>
      <c r="S207" s="925">
        <v>0.9</v>
      </c>
      <c r="T207" s="808" t="s">
        <v>91</v>
      </c>
      <c r="U207" s="244" t="s">
        <v>360</v>
      </c>
      <c r="V207" s="245"/>
      <c r="W207" s="245"/>
      <c r="X207" s="245"/>
      <c r="Y207" s="245"/>
      <c r="Z207" s="136"/>
      <c r="AA207" s="136"/>
      <c r="AB207" s="136"/>
      <c r="AC207" s="136"/>
      <c r="AD207" s="1049">
        <f>AG207</f>
        <v>93365634307.589996</v>
      </c>
      <c r="AE207" s="1049">
        <v>0</v>
      </c>
      <c r="AF207" s="1049">
        <v>0</v>
      </c>
      <c r="AG207" s="1046">
        <v>93365634307.589996</v>
      </c>
      <c r="AH207" s="1043" t="s">
        <v>361</v>
      </c>
      <c r="AI207" s="1043" t="s">
        <v>362</v>
      </c>
      <c r="AJ207" s="1043" t="s">
        <v>94</v>
      </c>
      <c r="AK207" s="1043"/>
      <c r="AL207" s="1043" t="s">
        <v>94</v>
      </c>
      <c r="AM207" s="1043"/>
      <c r="AN207" s="1043" t="s">
        <v>94</v>
      </c>
      <c r="AO207" s="1043"/>
      <c r="AP207" s="1043"/>
      <c r="AQ207" s="1043" t="s">
        <v>94</v>
      </c>
      <c r="AR207" s="1043"/>
      <c r="AS207" s="1043"/>
      <c r="AT207" s="190" t="s">
        <v>129</v>
      </c>
      <c r="AU207" s="203">
        <f t="shared" ref="AU207:BB207" si="169">+V209*$J$207</f>
        <v>0</v>
      </c>
      <c r="AV207" s="203">
        <f t="shared" si="169"/>
        <v>0</v>
      </c>
      <c r="AW207" s="203">
        <f t="shared" si="169"/>
        <v>0</v>
      </c>
      <c r="AX207" s="203">
        <f t="shared" si="169"/>
        <v>0</v>
      </c>
      <c r="AY207" s="203">
        <f t="shared" si="169"/>
        <v>0</v>
      </c>
      <c r="AZ207" s="203">
        <f t="shared" si="169"/>
        <v>0</v>
      </c>
      <c r="BA207" s="203">
        <f t="shared" si="169"/>
        <v>0</v>
      </c>
      <c r="BB207" s="203">
        <f t="shared" si="169"/>
        <v>0</v>
      </c>
      <c r="BC207" s="578">
        <f>+BB209</f>
        <v>0</v>
      </c>
      <c r="BD207" s="581">
        <f>+BC207+BC240+BC243+BC252</f>
        <v>0</v>
      </c>
      <c r="BE207" s="246"/>
      <c r="BF207" s="246"/>
    </row>
    <row r="208" spans="1:60" s="168" customFormat="1" ht="45" customHeight="1" thickBot="1" x14ac:dyDescent="0.3">
      <c r="A208" s="1065"/>
      <c r="B208" s="664"/>
      <c r="C208" s="665"/>
      <c r="D208" s="1066"/>
      <c r="E208" s="1062"/>
      <c r="F208" s="824"/>
      <c r="G208" s="733"/>
      <c r="H208" s="719"/>
      <c r="I208" s="733"/>
      <c r="J208" s="925"/>
      <c r="K208" s="733"/>
      <c r="L208" s="733"/>
      <c r="M208" s="733"/>
      <c r="N208" s="733"/>
      <c r="O208" s="804"/>
      <c r="P208" s="719"/>
      <c r="Q208" s="925"/>
      <c r="R208" s="925"/>
      <c r="S208" s="925"/>
      <c r="T208" s="808"/>
      <c r="U208" s="247" t="s">
        <v>363</v>
      </c>
      <c r="V208" s="248">
        <v>0.9</v>
      </c>
      <c r="W208" s="248">
        <v>0.9</v>
      </c>
      <c r="X208" s="248">
        <v>0.9</v>
      </c>
      <c r="Y208" s="248">
        <v>0.9</v>
      </c>
      <c r="Z208" s="248">
        <f>+V208</f>
        <v>0.9</v>
      </c>
      <c r="AA208" s="248">
        <f>AVERAGE(V208:W208)</f>
        <v>0.9</v>
      </c>
      <c r="AB208" s="248">
        <f>AVERAGE(V208:X208)</f>
        <v>0.9</v>
      </c>
      <c r="AC208" s="248">
        <f>AVERAGE(V208:Y208)</f>
        <v>0.9</v>
      </c>
      <c r="AD208" s="1050"/>
      <c r="AE208" s="1050"/>
      <c r="AF208" s="1050"/>
      <c r="AG208" s="1047"/>
      <c r="AH208" s="1044"/>
      <c r="AI208" s="1044"/>
      <c r="AJ208" s="1044"/>
      <c r="AK208" s="1044"/>
      <c r="AL208" s="1044"/>
      <c r="AM208" s="1044"/>
      <c r="AN208" s="1044"/>
      <c r="AO208" s="1044"/>
      <c r="AP208" s="1044"/>
      <c r="AQ208" s="1044"/>
      <c r="AR208" s="1044"/>
      <c r="AS208" s="1044"/>
      <c r="AT208" s="190" t="s">
        <v>131</v>
      </c>
      <c r="AU208" s="203">
        <f>+AU207*$H$207</f>
        <v>0</v>
      </c>
      <c r="AV208" s="203">
        <f t="shared" ref="AV208:BB208" si="170">+AV207*$H$207</f>
        <v>0</v>
      </c>
      <c r="AW208" s="203">
        <f t="shared" si="170"/>
        <v>0</v>
      </c>
      <c r="AX208" s="203">
        <f t="shared" si="170"/>
        <v>0</v>
      </c>
      <c r="AY208" s="203">
        <f t="shared" si="170"/>
        <v>0</v>
      </c>
      <c r="AZ208" s="203">
        <f t="shared" si="170"/>
        <v>0</v>
      </c>
      <c r="BA208" s="203">
        <f t="shared" si="170"/>
        <v>0</v>
      </c>
      <c r="BB208" s="203">
        <f t="shared" si="170"/>
        <v>0</v>
      </c>
      <c r="BC208" s="579"/>
      <c r="BD208" s="582"/>
      <c r="BE208" s="246"/>
      <c r="BF208" s="246"/>
    </row>
    <row r="209" spans="1:58" s="168" customFormat="1" ht="24.95" customHeight="1" thickBot="1" x14ac:dyDescent="0.3">
      <c r="A209" s="1065"/>
      <c r="B209" s="664"/>
      <c r="C209" s="665"/>
      <c r="D209" s="1066"/>
      <c r="E209" s="1062"/>
      <c r="F209" s="824"/>
      <c r="G209" s="733"/>
      <c r="H209" s="719"/>
      <c r="I209" s="733"/>
      <c r="J209" s="925"/>
      <c r="K209" s="733"/>
      <c r="L209" s="733"/>
      <c r="M209" s="733"/>
      <c r="N209" s="733"/>
      <c r="O209" s="804"/>
      <c r="P209" s="719"/>
      <c r="Q209" s="925"/>
      <c r="R209" s="925"/>
      <c r="S209" s="925"/>
      <c r="T209" s="808"/>
      <c r="U209" s="249" t="s">
        <v>96</v>
      </c>
      <c r="V209" s="195">
        <f t="shared" ref="V209:Y209" si="171">IF((V207/V208)&lt;$I$8,(V207/V208),IF((V207/V208)&lt;$J$8,(V207/V208),IF((V207/V208)&lt;$J$9,(V207/V208),IF((V207/V208)&gt;=$J$9,$J$9))))</f>
        <v>0</v>
      </c>
      <c r="W209" s="195">
        <f t="shared" si="171"/>
        <v>0</v>
      </c>
      <c r="X209" s="195">
        <f t="shared" si="171"/>
        <v>0</v>
      </c>
      <c r="Y209" s="195">
        <f t="shared" si="171"/>
        <v>0</v>
      </c>
      <c r="Z209" s="195">
        <f>IF((Z207/Z208)&lt;$I$8,(Z207/Z208),IF((Z207/Z208)&lt;$J$8,(Z207/Z208),IF((Z207/Z208)&lt;$J$9,(Z207/Z208),IF((Z207/Z208)&gt;=$J$9,$J$9))))</f>
        <v>0</v>
      </c>
      <c r="AA209" s="195">
        <f>IF((AA207/AA208)&lt;$I$8,(AA207/AA208),IF((AA207/AA208)&lt;$J$8,(AA207/AA208),IF((AA207/AA208)&lt;$J$9,(AA207/AA208),IF((AA207/AA208)&gt;=$J$9,$J$9))))</f>
        <v>0</v>
      </c>
      <c r="AB209" s="195">
        <f>IF((AB207/AB208)&lt;$I$8,(AB207/AB208),IF((AB207/AB208)&lt;$J$8,(AB207/AB208),IF((AB207/AB208)&lt;$J$9,(AB207/AB208),IF((AB207/AB208)&gt;=$J$9,$J$9))))</f>
        <v>0</v>
      </c>
      <c r="AC209" s="195">
        <f>IF((AC207/AC208)&lt;$I$8,(AC207/AC208),IF((AC207/AC208)&lt;$J$8,(AC207/AC208),IF((AC207/AC208)&lt;$J$9,(AC207/AC208),IF((AC207/AC208)&gt;=$J$9,$J$9))))</f>
        <v>0</v>
      </c>
      <c r="AD209" s="1050"/>
      <c r="AE209" s="1050"/>
      <c r="AF209" s="1050"/>
      <c r="AG209" s="1047"/>
      <c r="AH209" s="1045"/>
      <c r="AI209" s="1045"/>
      <c r="AJ209" s="1045"/>
      <c r="AK209" s="1045"/>
      <c r="AL209" s="1045"/>
      <c r="AM209" s="1045"/>
      <c r="AN209" s="1045"/>
      <c r="AO209" s="1045"/>
      <c r="AP209" s="1045"/>
      <c r="AQ209" s="1045"/>
      <c r="AR209" s="1045"/>
      <c r="AS209" s="1045"/>
      <c r="AT209" s="190" t="s">
        <v>132</v>
      </c>
      <c r="AU209" s="203">
        <f>+(AU208+AU211+AU214+AU217)*$F$207</f>
        <v>0</v>
      </c>
      <c r="AV209" s="203">
        <f t="shared" ref="AV209:BB209" si="172">+(AV208+AV211+AV214+AV217)*$F$207</f>
        <v>0</v>
      </c>
      <c r="AW209" s="203">
        <f t="shared" si="172"/>
        <v>0</v>
      </c>
      <c r="AX209" s="203">
        <f t="shared" si="172"/>
        <v>0</v>
      </c>
      <c r="AY209" s="203">
        <f t="shared" si="172"/>
        <v>0</v>
      </c>
      <c r="AZ209" s="203">
        <f t="shared" si="172"/>
        <v>0</v>
      </c>
      <c r="BA209" s="203">
        <f t="shared" si="172"/>
        <v>0</v>
      </c>
      <c r="BB209" s="127">
        <f t="shared" si="172"/>
        <v>0</v>
      </c>
      <c r="BC209" s="579"/>
      <c r="BD209" s="582"/>
      <c r="BE209" s="246"/>
      <c r="BF209" s="246"/>
    </row>
    <row r="210" spans="1:58" s="168" customFormat="1" ht="45" customHeight="1" x14ac:dyDescent="0.25">
      <c r="A210" s="1064"/>
      <c r="B210" s="664"/>
      <c r="C210" s="665">
        <v>2</v>
      </c>
      <c r="D210" s="1066"/>
      <c r="E210" s="1062"/>
      <c r="F210" s="824"/>
      <c r="G210" s="733" t="s">
        <v>364</v>
      </c>
      <c r="H210" s="719">
        <v>0.08</v>
      </c>
      <c r="I210" s="733" t="s">
        <v>365</v>
      </c>
      <c r="J210" s="925">
        <v>1</v>
      </c>
      <c r="K210" s="733" t="s">
        <v>366</v>
      </c>
      <c r="L210" s="733" t="s">
        <v>367</v>
      </c>
      <c r="M210" s="733" t="str">
        <f>CONCATENATE(U210,$U$32,U211)</f>
        <v>Solicitudes de inscripción en el Rucom que se atendieron dentro del los terminos (30 dias) / Total solicitudes de Rucom recibidas dentro de cada trimestre (Conforme al corte de datos)</v>
      </c>
      <c r="N210" s="733" t="s">
        <v>368</v>
      </c>
      <c r="O210" s="804" t="s">
        <v>369</v>
      </c>
      <c r="P210" s="758">
        <v>0.25</v>
      </c>
      <c r="Q210" s="927" t="s">
        <v>370</v>
      </c>
      <c r="R210" s="927">
        <v>1</v>
      </c>
      <c r="S210" s="927">
        <v>0.85</v>
      </c>
      <c r="T210" s="764" t="s">
        <v>151</v>
      </c>
      <c r="U210" s="244" t="s">
        <v>371</v>
      </c>
      <c r="V210" s="250"/>
      <c r="W210" s="250"/>
      <c r="X210" s="250"/>
      <c r="Y210" s="250"/>
      <c r="Z210" s="130"/>
      <c r="AA210" s="130"/>
      <c r="AB210" s="130"/>
      <c r="AC210" s="130"/>
      <c r="AD210" s="1050"/>
      <c r="AE210" s="1050"/>
      <c r="AF210" s="1050"/>
      <c r="AG210" s="1047"/>
      <c r="AH210" s="1043" t="s">
        <v>361</v>
      </c>
      <c r="AI210" s="1043" t="s">
        <v>362</v>
      </c>
      <c r="AJ210" s="1043" t="s">
        <v>94</v>
      </c>
      <c r="AK210" s="1043"/>
      <c r="AL210" s="1043"/>
      <c r="AM210" s="1043"/>
      <c r="AN210" s="1043" t="s">
        <v>94</v>
      </c>
      <c r="AO210" s="1043"/>
      <c r="AP210" s="1043"/>
      <c r="AQ210" s="1043" t="s">
        <v>94</v>
      </c>
      <c r="AR210" s="1043"/>
      <c r="AS210" s="1043"/>
      <c r="AT210" s="190" t="s">
        <v>129</v>
      </c>
      <c r="AU210" s="203">
        <f t="shared" ref="AU210:BB210" si="173">+V212*$J$210</f>
        <v>0</v>
      </c>
      <c r="AV210" s="203">
        <f t="shared" si="173"/>
        <v>0</v>
      </c>
      <c r="AW210" s="203">
        <f t="shared" si="173"/>
        <v>0</v>
      </c>
      <c r="AX210" s="203">
        <f t="shared" si="173"/>
        <v>0</v>
      </c>
      <c r="AY210" s="203">
        <f t="shared" si="173"/>
        <v>0</v>
      </c>
      <c r="AZ210" s="203">
        <f t="shared" si="173"/>
        <v>0</v>
      </c>
      <c r="BA210" s="203">
        <f t="shared" si="173"/>
        <v>0</v>
      </c>
      <c r="BB210" s="203">
        <f t="shared" si="173"/>
        <v>0</v>
      </c>
      <c r="BC210" s="579"/>
      <c r="BD210" s="582"/>
      <c r="BE210" s="246"/>
      <c r="BF210" s="246"/>
    </row>
    <row r="211" spans="1:58" s="168" customFormat="1" ht="45" customHeight="1" x14ac:dyDescent="0.25">
      <c r="A211" s="1065"/>
      <c r="B211" s="664"/>
      <c r="C211" s="665"/>
      <c r="D211" s="1066"/>
      <c r="E211" s="1062"/>
      <c r="F211" s="824"/>
      <c r="G211" s="733"/>
      <c r="H211" s="719"/>
      <c r="I211" s="733"/>
      <c r="J211" s="925"/>
      <c r="K211" s="733"/>
      <c r="L211" s="733"/>
      <c r="M211" s="733"/>
      <c r="N211" s="733"/>
      <c r="O211" s="804"/>
      <c r="P211" s="759"/>
      <c r="Q211" s="928"/>
      <c r="R211" s="928"/>
      <c r="S211" s="928"/>
      <c r="T211" s="765"/>
      <c r="U211" s="247" t="s">
        <v>372</v>
      </c>
      <c r="V211" s="220">
        <f>860*0.85</f>
        <v>731</v>
      </c>
      <c r="W211" s="251">
        <f>974*0.85</f>
        <v>827.9</v>
      </c>
      <c r="X211" s="251">
        <v>0.01</v>
      </c>
      <c r="Y211" s="251">
        <v>0.01</v>
      </c>
      <c r="Z211" s="220">
        <f>V211</f>
        <v>731</v>
      </c>
      <c r="AA211" s="220">
        <f>+V211+W211</f>
        <v>1558.9</v>
      </c>
      <c r="AB211" s="220">
        <f>+V211+W211+X211</f>
        <v>1558.91</v>
      </c>
      <c r="AC211" s="220">
        <f>+V211+W211+X211+Y211</f>
        <v>1558.92</v>
      </c>
      <c r="AD211" s="1050"/>
      <c r="AE211" s="1050"/>
      <c r="AF211" s="1050"/>
      <c r="AG211" s="1047"/>
      <c r="AH211" s="1044"/>
      <c r="AI211" s="1044"/>
      <c r="AJ211" s="1044"/>
      <c r="AK211" s="1044"/>
      <c r="AL211" s="1044"/>
      <c r="AM211" s="1044"/>
      <c r="AN211" s="1044"/>
      <c r="AO211" s="1044"/>
      <c r="AP211" s="1044"/>
      <c r="AQ211" s="1044"/>
      <c r="AR211" s="1044"/>
      <c r="AS211" s="1044"/>
      <c r="AT211" s="190" t="s">
        <v>131</v>
      </c>
      <c r="AU211" s="203">
        <f>+AU210*$H$210</f>
        <v>0</v>
      </c>
      <c r="AV211" s="203">
        <f t="shared" ref="AV211:BB211" si="174">+AV210*$H$210</f>
        <v>0</v>
      </c>
      <c r="AW211" s="203">
        <f t="shared" si="174"/>
        <v>0</v>
      </c>
      <c r="AX211" s="203">
        <f t="shared" si="174"/>
        <v>0</v>
      </c>
      <c r="AY211" s="203">
        <f t="shared" si="174"/>
        <v>0</v>
      </c>
      <c r="AZ211" s="203">
        <f t="shared" si="174"/>
        <v>0</v>
      </c>
      <c r="BA211" s="203">
        <f t="shared" si="174"/>
        <v>0</v>
      </c>
      <c r="BB211" s="203">
        <f t="shared" si="174"/>
        <v>0</v>
      </c>
      <c r="BC211" s="579"/>
      <c r="BD211" s="582"/>
      <c r="BE211" s="246"/>
      <c r="BF211" s="246"/>
    </row>
    <row r="212" spans="1:58" s="168" customFormat="1" ht="24.95" customHeight="1" x14ac:dyDescent="0.25">
      <c r="A212" s="1065"/>
      <c r="B212" s="664"/>
      <c r="C212" s="665"/>
      <c r="D212" s="1066"/>
      <c r="E212" s="1062"/>
      <c r="F212" s="824"/>
      <c r="G212" s="733"/>
      <c r="H212" s="719"/>
      <c r="I212" s="733"/>
      <c r="J212" s="925"/>
      <c r="K212" s="733"/>
      <c r="L212" s="733"/>
      <c r="M212" s="733"/>
      <c r="N212" s="733"/>
      <c r="O212" s="804"/>
      <c r="P212" s="760"/>
      <c r="Q212" s="929"/>
      <c r="R212" s="929"/>
      <c r="S212" s="929"/>
      <c r="T212" s="766"/>
      <c r="U212" s="249" t="s">
        <v>96</v>
      </c>
      <c r="V212" s="195">
        <f t="shared" ref="V212:AC212" si="175">IF((V210/V211)&lt;$I$8,(V210/V211),IF((V210/V211)&lt;$J$8,(V210/V211),IF((V210/V211)&lt;$J$9,(V210/V211),IF((V210/V211)&gt;=$J$9,$J$9))))</f>
        <v>0</v>
      </c>
      <c r="W212" s="252">
        <f t="shared" si="175"/>
        <v>0</v>
      </c>
      <c r="X212" s="252">
        <f t="shared" si="175"/>
        <v>0</v>
      </c>
      <c r="Y212" s="252">
        <f t="shared" si="175"/>
        <v>0</v>
      </c>
      <c r="Z212" s="252">
        <f>IF((Z210/Z211)&lt;$I$8,(Z210/Z211),IF((Z210/Z211)&lt;$J$8,(Z210/Z211),IF((Z210/Z211)&lt;$J$9,(Z210/Z211),IF((Z210/Z211)&gt;=$J$9,$J$9))))</f>
        <v>0</v>
      </c>
      <c r="AA212" s="252">
        <f t="shared" si="175"/>
        <v>0</v>
      </c>
      <c r="AB212" s="252">
        <f t="shared" si="175"/>
        <v>0</v>
      </c>
      <c r="AC212" s="252">
        <f t="shared" si="175"/>
        <v>0</v>
      </c>
      <c r="AD212" s="1050"/>
      <c r="AE212" s="1050"/>
      <c r="AF212" s="1050"/>
      <c r="AG212" s="1047"/>
      <c r="AH212" s="1045"/>
      <c r="AI212" s="1045"/>
      <c r="AJ212" s="1045"/>
      <c r="AK212" s="1045"/>
      <c r="AL212" s="1045"/>
      <c r="AM212" s="1045"/>
      <c r="AN212" s="1045"/>
      <c r="AO212" s="1045"/>
      <c r="AP212" s="1045"/>
      <c r="AQ212" s="1045"/>
      <c r="AR212" s="1045"/>
      <c r="AS212" s="1045"/>
      <c r="AT212" s="190" t="s">
        <v>132</v>
      </c>
      <c r="AU212" s="575"/>
      <c r="AV212" s="576"/>
      <c r="AW212" s="576"/>
      <c r="AX212" s="576"/>
      <c r="AY212" s="576"/>
      <c r="AZ212" s="576"/>
      <c r="BA212" s="576"/>
      <c r="BB212" s="577"/>
      <c r="BC212" s="579"/>
      <c r="BD212" s="582"/>
      <c r="BE212" s="246"/>
      <c r="BF212" s="246"/>
    </row>
    <row r="213" spans="1:58" s="168" customFormat="1" ht="45" customHeight="1" x14ac:dyDescent="0.25">
      <c r="A213" s="1064"/>
      <c r="B213" s="664"/>
      <c r="C213" s="665">
        <v>3</v>
      </c>
      <c r="D213" s="1066"/>
      <c r="E213" s="1062"/>
      <c r="F213" s="824"/>
      <c r="G213" s="733" t="s">
        <v>373</v>
      </c>
      <c r="H213" s="719">
        <v>0.12</v>
      </c>
      <c r="I213" s="733" t="s">
        <v>374</v>
      </c>
      <c r="J213" s="925">
        <v>1</v>
      </c>
      <c r="K213" s="733" t="s">
        <v>375</v>
      </c>
      <c r="L213" s="733" t="s">
        <v>376</v>
      </c>
      <c r="M213" s="733" t="str">
        <f>CONCATENATE(U213,$U$32,U214)</f>
        <v>% de recaudos de contraprestaciones económicas identificados de los recaudos de recursos propios de la vigencia / % esperado de identificación y registro</v>
      </c>
      <c r="N213" s="733" t="s">
        <v>377</v>
      </c>
      <c r="O213" s="804" t="s">
        <v>378</v>
      </c>
      <c r="P213" s="719">
        <v>0.05</v>
      </c>
      <c r="Q213" s="925" t="s">
        <v>370</v>
      </c>
      <c r="R213" s="925">
        <v>1</v>
      </c>
      <c r="S213" s="925">
        <v>0.8</v>
      </c>
      <c r="T213" s="808" t="s">
        <v>91</v>
      </c>
      <c r="U213" s="253" t="s">
        <v>379</v>
      </c>
      <c r="V213" s="245"/>
      <c r="W213" s="254"/>
      <c r="X213" s="245"/>
      <c r="Y213" s="245"/>
      <c r="Z213" s="136"/>
      <c r="AA213" s="136"/>
      <c r="AB213" s="136"/>
      <c r="AC213" s="136"/>
      <c r="AD213" s="1050"/>
      <c r="AE213" s="1050"/>
      <c r="AF213" s="1050"/>
      <c r="AG213" s="1047"/>
      <c r="AH213" s="1043" t="s">
        <v>361</v>
      </c>
      <c r="AI213" s="1043" t="s">
        <v>362</v>
      </c>
      <c r="AJ213" s="1043" t="s">
        <v>94</v>
      </c>
      <c r="AK213" s="1043"/>
      <c r="AL213" s="1043"/>
      <c r="AM213" s="1043"/>
      <c r="AN213" s="1043" t="s">
        <v>94</v>
      </c>
      <c r="AO213" s="1043"/>
      <c r="AP213" s="1043"/>
      <c r="AQ213" s="1043" t="s">
        <v>94</v>
      </c>
      <c r="AR213" s="1043"/>
      <c r="AS213" s="1043"/>
      <c r="AT213" s="190" t="s">
        <v>129</v>
      </c>
      <c r="AU213" s="203">
        <f t="shared" ref="AU213:BB213" si="176">+V215*$J$213</f>
        <v>0</v>
      </c>
      <c r="AV213" s="203">
        <f t="shared" si="176"/>
        <v>0</v>
      </c>
      <c r="AW213" s="203">
        <f t="shared" si="176"/>
        <v>0</v>
      </c>
      <c r="AX213" s="203">
        <f t="shared" si="176"/>
        <v>0</v>
      </c>
      <c r="AY213" s="203">
        <f t="shared" si="176"/>
        <v>0</v>
      </c>
      <c r="AZ213" s="203">
        <f t="shared" si="176"/>
        <v>0</v>
      </c>
      <c r="BA213" s="203">
        <f t="shared" si="176"/>
        <v>0</v>
      </c>
      <c r="BB213" s="203">
        <f t="shared" si="176"/>
        <v>0</v>
      </c>
      <c r="BC213" s="579"/>
      <c r="BD213" s="582"/>
      <c r="BE213" s="246"/>
      <c r="BF213" s="246"/>
    </row>
    <row r="214" spans="1:58" s="168" customFormat="1" ht="45" customHeight="1" x14ac:dyDescent="0.25">
      <c r="A214" s="1065"/>
      <c r="B214" s="664"/>
      <c r="C214" s="665"/>
      <c r="D214" s="1066"/>
      <c r="E214" s="1062"/>
      <c r="F214" s="824"/>
      <c r="G214" s="733"/>
      <c r="H214" s="719"/>
      <c r="I214" s="733"/>
      <c r="J214" s="925"/>
      <c r="K214" s="733"/>
      <c r="L214" s="733"/>
      <c r="M214" s="733"/>
      <c r="N214" s="733"/>
      <c r="O214" s="804"/>
      <c r="P214" s="719"/>
      <c r="Q214" s="925"/>
      <c r="R214" s="925"/>
      <c r="S214" s="925"/>
      <c r="T214" s="808"/>
      <c r="U214" s="247" t="s">
        <v>380</v>
      </c>
      <c r="V214" s="248">
        <v>0.8</v>
      </c>
      <c r="W214" s="248">
        <v>0.8</v>
      </c>
      <c r="X214" s="248">
        <v>0.8</v>
      </c>
      <c r="Y214" s="248">
        <v>0.8</v>
      </c>
      <c r="Z214" s="248">
        <f>+V214</f>
        <v>0.8</v>
      </c>
      <c r="AA214" s="248">
        <v>0.8</v>
      </c>
      <c r="AB214" s="248">
        <v>1E-4</v>
      </c>
      <c r="AC214" s="248">
        <v>0.8</v>
      </c>
      <c r="AD214" s="1050"/>
      <c r="AE214" s="1050"/>
      <c r="AF214" s="1050"/>
      <c r="AG214" s="1047"/>
      <c r="AH214" s="1044"/>
      <c r="AI214" s="1044"/>
      <c r="AJ214" s="1044"/>
      <c r="AK214" s="1044"/>
      <c r="AL214" s="1044"/>
      <c r="AM214" s="1044"/>
      <c r="AN214" s="1044"/>
      <c r="AO214" s="1044"/>
      <c r="AP214" s="1044"/>
      <c r="AQ214" s="1044"/>
      <c r="AR214" s="1044"/>
      <c r="AS214" s="1044"/>
      <c r="AT214" s="190" t="s">
        <v>131</v>
      </c>
      <c r="AU214" s="203">
        <f>+AU213*$H$213</f>
        <v>0</v>
      </c>
      <c r="AV214" s="203">
        <f t="shared" ref="AV214:BB214" si="177">+AV213*$H$213</f>
        <v>0</v>
      </c>
      <c r="AW214" s="203">
        <f t="shared" si="177"/>
        <v>0</v>
      </c>
      <c r="AX214" s="203">
        <f t="shared" si="177"/>
        <v>0</v>
      </c>
      <c r="AY214" s="203">
        <f t="shared" si="177"/>
        <v>0</v>
      </c>
      <c r="AZ214" s="203">
        <f t="shared" si="177"/>
        <v>0</v>
      </c>
      <c r="BA214" s="203">
        <f t="shared" si="177"/>
        <v>0</v>
      </c>
      <c r="BB214" s="203">
        <f t="shared" si="177"/>
        <v>0</v>
      </c>
      <c r="BC214" s="579"/>
      <c r="BD214" s="582"/>
      <c r="BE214" s="246"/>
      <c r="BF214" s="246"/>
    </row>
    <row r="215" spans="1:58" s="168" customFormat="1" ht="24.95" customHeight="1" x14ac:dyDescent="0.25">
      <c r="A215" s="1065"/>
      <c r="B215" s="664"/>
      <c r="C215" s="665"/>
      <c r="D215" s="1066"/>
      <c r="E215" s="1062"/>
      <c r="F215" s="824"/>
      <c r="G215" s="733"/>
      <c r="H215" s="719"/>
      <c r="I215" s="733"/>
      <c r="J215" s="925"/>
      <c r="K215" s="733"/>
      <c r="L215" s="733"/>
      <c r="M215" s="733"/>
      <c r="N215" s="733"/>
      <c r="O215" s="804"/>
      <c r="P215" s="719"/>
      <c r="Q215" s="925"/>
      <c r="R215" s="925"/>
      <c r="S215" s="925"/>
      <c r="T215" s="808"/>
      <c r="U215" s="249" t="s">
        <v>96</v>
      </c>
      <c r="V215" s="195">
        <f t="shared" ref="V215:Z215" si="178">IF((V213/V214)&lt;$I$8,(V213/V214),IF((V213/V214)&lt;$J$8,(V213/V214),IF((V213/V214)&lt;$J$9,(V213/V214),IF((V213/V214)&gt;=$J$9,$J$9))))</f>
        <v>0</v>
      </c>
      <c r="W215" s="195">
        <f t="shared" si="178"/>
        <v>0</v>
      </c>
      <c r="X215" s="195">
        <f t="shared" si="178"/>
        <v>0</v>
      </c>
      <c r="Y215" s="195">
        <f t="shared" si="178"/>
        <v>0</v>
      </c>
      <c r="Z215" s="195">
        <f t="shared" si="178"/>
        <v>0</v>
      </c>
      <c r="AA215" s="195">
        <f>IF((AA213/AA214)&lt;$I$8,(AA213/AA214),IF((AA213/AA214)&lt;$J$8,(AA213/AA214),IF((AA213/AA214)&lt;$J$9,(AA213/AA214),IF((AA213/AA214)&gt;=$J$9,$J$9))))</f>
        <v>0</v>
      </c>
      <c r="AB215" s="195">
        <f t="shared" ref="AB215" si="179">IF((AB213/AB214)&lt;$I$8,(AB213/AB214),IF((AB213/AB214)&lt;$J$8,(AB213/AB214),IF((AB213/AB214)&lt;$J$9,(AB213/AB214),IF((AB213/AB214)&gt;=$J$9,$J$9))))</f>
        <v>0</v>
      </c>
      <c r="AC215" s="195">
        <f>IF((AC213/AC214)&lt;$I$8,(AC213/AC214),IF((AC213/AC214)&lt;$J$8,(AC213/AC214),IF((AC213/AC214)&lt;$J$9,(AC213/AC214),IF((AC213/AC214)&gt;=$J$9,$J$9))))</f>
        <v>0</v>
      </c>
      <c r="AD215" s="1050"/>
      <c r="AE215" s="1050"/>
      <c r="AF215" s="1050"/>
      <c r="AG215" s="1047"/>
      <c r="AH215" s="1045"/>
      <c r="AI215" s="1045"/>
      <c r="AJ215" s="1045"/>
      <c r="AK215" s="1045"/>
      <c r="AL215" s="1045"/>
      <c r="AM215" s="1045"/>
      <c r="AN215" s="1045"/>
      <c r="AO215" s="1045"/>
      <c r="AP215" s="1045"/>
      <c r="AQ215" s="1045"/>
      <c r="AR215" s="1045"/>
      <c r="AS215" s="1045"/>
      <c r="AT215" s="190" t="s">
        <v>132</v>
      </c>
      <c r="AU215" s="575"/>
      <c r="AV215" s="576"/>
      <c r="AW215" s="576"/>
      <c r="AX215" s="576"/>
      <c r="AY215" s="576"/>
      <c r="AZ215" s="576"/>
      <c r="BA215" s="576"/>
      <c r="BB215" s="577"/>
      <c r="BC215" s="579"/>
      <c r="BD215" s="582"/>
      <c r="BE215" s="246"/>
      <c r="BF215" s="246"/>
    </row>
    <row r="216" spans="1:58" s="168" customFormat="1" ht="45" customHeight="1" x14ac:dyDescent="0.25">
      <c r="A216" s="1064"/>
      <c r="B216" s="664"/>
      <c r="C216" s="665">
        <v>4</v>
      </c>
      <c r="D216" s="1066"/>
      <c r="E216" s="1062"/>
      <c r="F216" s="824"/>
      <c r="G216" s="733" t="s">
        <v>381</v>
      </c>
      <c r="H216" s="719">
        <v>0.5</v>
      </c>
      <c r="I216" s="733" t="s">
        <v>382</v>
      </c>
      <c r="J216" s="925">
        <v>0.28000000000000003</v>
      </c>
      <c r="K216" s="733" t="s">
        <v>383</v>
      </c>
      <c r="L216" s="733" t="s">
        <v>384</v>
      </c>
      <c r="M216" s="733" t="str">
        <f>CONCATENATE(U216,$U$32,U217)</f>
        <v>Sumatoria del número de títulos visitados  y que estén debidamente notificados / Número de títulos (95%) programado en el periodo</v>
      </c>
      <c r="N216" s="733" t="s">
        <v>385</v>
      </c>
      <c r="O216" s="733" t="s">
        <v>359</v>
      </c>
      <c r="P216" s="925">
        <v>0.25</v>
      </c>
      <c r="Q216" s="925">
        <v>0.74</v>
      </c>
      <c r="R216" s="925">
        <v>1</v>
      </c>
      <c r="S216" s="925">
        <v>0.95</v>
      </c>
      <c r="T216" s="808" t="s">
        <v>151</v>
      </c>
      <c r="U216" s="253" t="s">
        <v>386</v>
      </c>
      <c r="V216" s="250"/>
      <c r="W216" s="250"/>
      <c r="X216" s="250"/>
      <c r="Y216" s="250"/>
      <c r="Z216" s="130"/>
      <c r="AA216" s="130"/>
      <c r="AB216" s="130"/>
      <c r="AC216" s="130"/>
      <c r="AD216" s="1050"/>
      <c r="AE216" s="1050"/>
      <c r="AF216" s="1050"/>
      <c r="AG216" s="1047"/>
      <c r="AH216" s="1043" t="s">
        <v>387</v>
      </c>
      <c r="AI216" s="1043" t="s">
        <v>388</v>
      </c>
      <c r="AJ216" s="1043" t="s">
        <v>94</v>
      </c>
      <c r="AK216" s="1043"/>
      <c r="AL216" s="1043"/>
      <c r="AM216" s="1043"/>
      <c r="AN216" s="1043" t="s">
        <v>94</v>
      </c>
      <c r="AO216" s="1043"/>
      <c r="AP216" s="1043"/>
      <c r="AQ216" s="1043" t="s">
        <v>94</v>
      </c>
      <c r="AR216" s="1043"/>
      <c r="AS216" s="1043"/>
      <c r="AT216" s="190" t="s">
        <v>129</v>
      </c>
      <c r="AU216" s="203">
        <f t="shared" ref="AU216:BB216" si="180">+V218*$J$216</f>
        <v>0</v>
      </c>
      <c r="AV216" s="203">
        <f t="shared" si="180"/>
        <v>0</v>
      </c>
      <c r="AW216" s="203">
        <f t="shared" si="180"/>
        <v>0</v>
      </c>
      <c r="AX216" s="203">
        <f t="shared" si="180"/>
        <v>0</v>
      </c>
      <c r="AY216" s="203">
        <f t="shared" si="180"/>
        <v>0</v>
      </c>
      <c r="AZ216" s="203">
        <f t="shared" si="180"/>
        <v>0</v>
      </c>
      <c r="BA216" s="203">
        <f t="shared" si="180"/>
        <v>0</v>
      </c>
      <c r="BB216" s="203">
        <f t="shared" si="180"/>
        <v>0</v>
      </c>
      <c r="BC216" s="579"/>
      <c r="BD216" s="582"/>
      <c r="BE216" s="246"/>
      <c r="BF216" s="246"/>
    </row>
    <row r="217" spans="1:58" s="168" customFormat="1" ht="45" customHeight="1" x14ac:dyDescent="0.25">
      <c r="A217" s="1065"/>
      <c r="B217" s="664"/>
      <c r="C217" s="665"/>
      <c r="D217" s="1066"/>
      <c r="E217" s="1062"/>
      <c r="F217" s="824"/>
      <c r="G217" s="733"/>
      <c r="H217" s="719"/>
      <c r="I217" s="733"/>
      <c r="J217" s="925"/>
      <c r="K217" s="733"/>
      <c r="L217" s="733"/>
      <c r="M217" s="733"/>
      <c r="N217" s="733"/>
      <c r="O217" s="733"/>
      <c r="P217" s="925"/>
      <c r="Q217" s="925"/>
      <c r="R217" s="925"/>
      <c r="S217" s="925"/>
      <c r="T217" s="808"/>
      <c r="U217" s="247" t="s">
        <v>389</v>
      </c>
      <c r="V217" s="220">
        <f>(6987*0.95)*0.2</f>
        <v>1327.53</v>
      </c>
      <c r="W217" s="220">
        <f t="shared" ref="W217" si="181">(6987*0.95)*0.2</f>
        <v>1327.53</v>
      </c>
      <c r="X217" s="220">
        <f>(6987*0.95)*0.3</f>
        <v>1991.2949999999998</v>
      </c>
      <c r="Y217" s="220">
        <f>(6987*0.95)*0.3</f>
        <v>1991.2949999999998</v>
      </c>
      <c r="Z217" s="220">
        <f>+V217</f>
        <v>1327.53</v>
      </c>
      <c r="AA217" s="220">
        <f>+V217+W217</f>
        <v>2655.06</v>
      </c>
      <c r="AB217" s="220">
        <f>+V217+W217+X217</f>
        <v>4646.3549999999996</v>
      </c>
      <c r="AC217" s="220">
        <f>+V217+W217+X217+Y217</f>
        <v>6637.65</v>
      </c>
      <c r="AD217" s="1050"/>
      <c r="AE217" s="1050"/>
      <c r="AF217" s="1050"/>
      <c r="AG217" s="1047"/>
      <c r="AH217" s="1044"/>
      <c r="AI217" s="1044"/>
      <c r="AJ217" s="1044"/>
      <c r="AK217" s="1044"/>
      <c r="AL217" s="1044"/>
      <c r="AM217" s="1044"/>
      <c r="AN217" s="1044"/>
      <c r="AO217" s="1044"/>
      <c r="AP217" s="1044"/>
      <c r="AQ217" s="1044"/>
      <c r="AR217" s="1044"/>
      <c r="AS217" s="1044"/>
      <c r="AT217" s="190" t="s">
        <v>131</v>
      </c>
      <c r="AU217" s="203">
        <f>+(AU216+AU219+AU222+AU225+AU228+AU231+AU234+AU237)*$H$216</f>
        <v>0</v>
      </c>
      <c r="AV217" s="203">
        <f t="shared" ref="AV217:BB217" si="182">+(AV216+AV219+AV222+AV225+AV228+AV231+AV234+AV237)*$H$216</f>
        <v>0</v>
      </c>
      <c r="AW217" s="203">
        <f t="shared" si="182"/>
        <v>0</v>
      </c>
      <c r="AX217" s="203">
        <f t="shared" si="182"/>
        <v>0</v>
      </c>
      <c r="AY217" s="203">
        <f t="shared" si="182"/>
        <v>0</v>
      </c>
      <c r="AZ217" s="203">
        <f t="shared" si="182"/>
        <v>0</v>
      </c>
      <c r="BA217" s="203">
        <f t="shared" si="182"/>
        <v>0</v>
      </c>
      <c r="BB217" s="203">
        <f t="shared" si="182"/>
        <v>0</v>
      </c>
      <c r="BC217" s="579"/>
      <c r="BD217" s="582"/>
      <c r="BE217" s="246"/>
      <c r="BF217" s="246"/>
    </row>
    <row r="218" spans="1:58" s="168" customFormat="1" ht="24.95" customHeight="1" x14ac:dyDescent="0.25">
      <c r="A218" s="1065"/>
      <c r="B218" s="664"/>
      <c r="C218" s="665"/>
      <c r="D218" s="1066"/>
      <c r="E218" s="1062"/>
      <c r="F218" s="824"/>
      <c r="G218" s="733"/>
      <c r="H218" s="719"/>
      <c r="I218" s="733"/>
      <c r="J218" s="925"/>
      <c r="K218" s="733"/>
      <c r="L218" s="733"/>
      <c r="M218" s="733"/>
      <c r="N218" s="733"/>
      <c r="O218" s="733"/>
      <c r="P218" s="925"/>
      <c r="Q218" s="925"/>
      <c r="R218" s="925"/>
      <c r="S218" s="925"/>
      <c r="T218" s="808"/>
      <c r="U218" s="249" t="s">
        <v>96</v>
      </c>
      <c r="V218" s="255">
        <f t="shared" ref="V218:AC218" si="183">IF((V216/V217)&lt;$I$8,(V216/V217),IF((V216/V217)&lt;$J$8,(V216/V217),IF((V216/V217)&lt;$J$9,(V216/V217),IF((V216/V217)&gt;=$J$9,$J$9))))</f>
        <v>0</v>
      </c>
      <c r="W218" s="255">
        <f t="shared" si="183"/>
        <v>0</v>
      </c>
      <c r="X218" s="255">
        <f t="shared" si="183"/>
        <v>0</v>
      </c>
      <c r="Y218" s="255">
        <f t="shared" si="183"/>
        <v>0</v>
      </c>
      <c r="Z218" s="255">
        <f t="shared" si="183"/>
        <v>0</v>
      </c>
      <c r="AA218" s="255">
        <f t="shared" si="183"/>
        <v>0</v>
      </c>
      <c r="AB218" s="255">
        <f t="shared" si="183"/>
        <v>0</v>
      </c>
      <c r="AC218" s="255">
        <f t="shared" si="183"/>
        <v>0</v>
      </c>
      <c r="AD218" s="1050"/>
      <c r="AE218" s="1050"/>
      <c r="AF218" s="1050"/>
      <c r="AG218" s="1047"/>
      <c r="AH218" s="1045"/>
      <c r="AI218" s="1045"/>
      <c r="AJ218" s="1045"/>
      <c r="AK218" s="1045"/>
      <c r="AL218" s="1045"/>
      <c r="AM218" s="1045"/>
      <c r="AN218" s="1045"/>
      <c r="AO218" s="1045"/>
      <c r="AP218" s="1045"/>
      <c r="AQ218" s="1045"/>
      <c r="AR218" s="1045"/>
      <c r="AS218" s="1045"/>
      <c r="AT218" s="190" t="s">
        <v>132</v>
      </c>
      <c r="AU218" s="575"/>
      <c r="AV218" s="576"/>
      <c r="AW218" s="576"/>
      <c r="AX218" s="576"/>
      <c r="AY218" s="576"/>
      <c r="AZ218" s="576"/>
      <c r="BA218" s="576"/>
      <c r="BB218" s="577"/>
      <c r="BC218" s="579"/>
      <c r="BD218" s="582"/>
      <c r="BE218" s="246"/>
      <c r="BF218" s="246"/>
    </row>
    <row r="219" spans="1:58" s="168" customFormat="1" ht="65.099999999999994" customHeight="1" x14ac:dyDescent="0.25">
      <c r="A219" s="256"/>
      <c r="B219" s="664"/>
      <c r="C219" s="665">
        <v>5</v>
      </c>
      <c r="D219" s="1066"/>
      <c r="E219" s="1062"/>
      <c r="F219" s="824"/>
      <c r="G219" s="733"/>
      <c r="H219" s="719"/>
      <c r="I219" s="733" t="s">
        <v>390</v>
      </c>
      <c r="J219" s="925">
        <v>0.1</v>
      </c>
      <c r="K219" s="733" t="s">
        <v>391</v>
      </c>
      <c r="L219" s="733" t="s">
        <v>392</v>
      </c>
      <c r="M219" s="733" t="str">
        <f>CONCATENATE(U219,$U$32,U220)</f>
        <v>N° de títulos con inspecciones de campo realizadas conforme a la programación que da cumplimiento al criterio legal   / N° títulos programados y priorizados conforme al criterio legal.</v>
      </c>
      <c r="N219" s="733" t="s">
        <v>393</v>
      </c>
      <c r="O219" s="733" t="s">
        <v>359</v>
      </c>
      <c r="P219" s="925">
        <v>0.1</v>
      </c>
      <c r="Q219" s="925" t="s">
        <v>394</v>
      </c>
      <c r="R219" s="925">
        <v>1</v>
      </c>
      <c r="S219" s="925">
        <v>1</v>
      </c>
      <c r="T219" s="808" t="s">
        <v>151</v>
      </c>
      <c r="U219" s="253" t="s">
        <v>395</v>
      </c>
      <c r="V219" s="250"/>
      <c r="W219" s="250"/>
      <c r="X219" s="250"/>
      <c r="Y219" s="250"/>
      <c r="Z219" s="130"/>
      <c r="AA219" s="130"/>
      <c r="AB219" s="130"/>
      <c r="AC219" s="130"/>
      <c r="AD219" s="1050"/>
      <c r="AE219" s="1050"/>
      <c r="AF219" s="1050"/>
      <c r="AG219" s="1047"/>
      <c r="AH219" s="1043" t="s">
        <v>387</v>
      </c>
      <c r="AI219" s="1043" t="s">
        <v>388</v>
      </c>
      <c r="AJ219" s="1043" t="s">
        <v>94</v>
      </c>
      <c r="AK219" s="1043"/>
      <c r="AL219" s="1043"/>
      <c r="AM219" s="1043"/>
      <c r="AN219" s="1043" t="s">
        <v>94</v>
      </c>
      <c r="AO219" s="1043"/>
      <c r="AP219" s="1043"/>
      <c r="AQ219" s="1043" t="s">
        <v>94</v>
      </c>
      <c r="AR219" s="1043"/>
      <c r="AS219" s="1043"/>
      <c r="AT219" s="190" t="s">
        <v>129</v>
      </c>
      <c r="AU219" s="203">
        <f t="shared" ref="AU219:BB219" si="184">+V221*$J$219</f>
        <v>0</v>
      </c>
      <c r="AV219" s="203">
        <f t="shared" si="184"/>
        <v>0</v>
      </c>
      <c r="AW219" s="203">
        <f t="shared" si="184"/>
        <v>0</v>
      </c>
      <c r="AX219" s="203">
        <f t="shared" si="184"/>
        <v>0</v>
      </c>
      <c r="AY219" s="203">
        <f t="shared" si="184"/>
        <v>0</v>
      </c>
      <c r="AZ219" s="203">
        <f t="shared" si="184"/>
        <v>0</v>
      </c>
      <c r="BA219" s="203">
        <f t="shared" si="184"/>
        <v>0</v>
      </c>
      <c r="BB219" s="203">
        <f t="shared" si="184"/>
        <v>0</v>
      </c>
      <c r="BC219" s="579"/>
      <c r="BD219" s="582"/>
      <c r="BE219" s="246"/>
      <c r="BF219" s="246"/>
    </row>
    <row r="220" spans="1:58" s="168" customFormat="1" ht="65.099999999999994" customHeight="1" x14ac:dyDescent="0.25">
      <c r="A220" s="256"/>
      <c r="B220" s="664"/>
      <c r="C220" s="665"/>
      <c r="D220" s="1066"/>
      <c r="E220" s="1062"/>
      <c r="F220" s="824"/>
      <c r="G220" s="733"/>
      <c r="H220" s="719"/>
      <c r="I220" s="733"/>
      <c r="J220" s="925"/>
      <c r="K220" s="733"/>
      <c r="L220" s="733"/>
      <c r="M220" s="733"/>
      <c r="N220" s="733"/>
      <c r="O220" s="733"/>
      <c r="P220" s="925"/>
      <c r="Q220" s="925"/>
      <c r="R220" s="925"/>
      <c r="S220" s="925"/>
      <c r="T220" s="808"/>
      <c r="U220" s="247" t="s">
        <v>396</v>
      </c>
      <c r="V220" s="251">
        <v>135</v>
      </c>
      <c r="W220" s="251">
        <v>180</v>
      </c>
      <c r="X220" s="251">
        <v>0.01</v>
      </c>
      <c r="Y220" s="251">
        <v>0.01</v>
      </c>
      <c r="Z220" s="220">
        <f>+V220</f>
        <v>135</v>
      </c>
      <c r="AA220" s="220">
        <f>+V220+W220</f>
        <v>315</v>
      </c>
      <c r="AB220" s="220">
        <f>+V220+W220+X220</f>
        <v>315.01</v>
      </c>
      <c r="AC220" s="220">
        <f>+V220+W220+X220+Y220</f>
        <v>315.02</v>
      </c>
      <c r="AD220" s="1050"/>
      <c r="AE220" s="1050"/>
      <c r="AF220" s="1050"/>
      <c r="AG220" s="1047"/>
      <c r="AH220" s="1044"/>
      <c r="AI220" s="1044"/>
      <c r="AJ220" s="1044"/>
      <c r="AK220" s="1044"/>
      <c r="AL220" s="1044"/>
      <c r="AM220" s="1044"/>
      <c r="AN220" s="1044"/>
      <c r="AO220" s="1044"/>
      <c r="AP220" s="1044"/>
      <c r="AQ220" s="1044"/>
      <c r="AR220" s="1044"/>
      <c r="AS220" s="1044"/>
      <c r="AT220" s="190" t="s">
        <v>131</v>
      </c>
      <c r="AU220" s="575"/>
      <c r="AV220" s="576"/>
      <c r="AW220" s="576"/>
      <c r="AX220" s="576"/>
      <c r="AY220" s="576"/>
      <c r="AZ220" s="576"/>
      <c r="BA220" s="576"/>
      <c r="BB220" s="577"/>
      <c r="BC220" s="579"/>
      <c r="BD220" s="582"/>
      <c r="BE220" s="246"/>
      <c r="BF220" s="246"/>
    </row>
    <row r="221" spans="1:58" s="168" customFormat="1" ht="24.95" customHeight="1" x14ac:dyDescent="0.25">
      <c r="A221" s="256"/>
      <c r="B221" s="664"/>
      <c r="C221" s="665"/>
      <c r="D221" s="1066"/>
      <c r="E221" s="1062"/>
      <c r="F221" s="824"/>
      <c r="G221" s="733"/>
      <c r="H221" s="719"/>
      <c r="I221" s="733"/>
      <c r="J221" s="925"/>
      <c r="K221" s="733"/>
      <c r="L221" s="733"/>
      <c r="M221" s="733"/>
      <c r="N221" s="733"/>
      <c r="O221" s="733"/>
      <c r="P221" s="925"/>
      <c r="Q221" s="925"/>
      <c r="R221" s="925"/>
      <c r="S221" s="925"/>
      <c r="T221" s="808"/>
      <c r="U221" s="249" t="s">
        <v>96</v>
      </c>
      <c r="V221" s="255">
        <f t="shared" ref="V221:AC221" si="185">IF((V219/V220)&lt;$I$8,(V219/V220),IF((V219/V220)&lt;$J$8,(V219/V220),IF((V219/V220)&lt;$J$9,(V219/V220),IF((V219/V220)&gt;=$J$9,$J$9))))</f>
        <v>0</v>
      </c>
      <c r="W221" s="255">
        <f t="shared" si="185"/>
        <v>0</v>
      </c>
      <c r="X221" s="255">
        <f t="shared" si="185"/>
        <v>0</v>
      </c>
      <c r="Y221" s="255">
        <f t="shared" si="185"/>
        <v>0</v>
      </c>
      <c r="Z221" s="255">
        <f t="shared" si="185"/>
        <v>0</v>
      </c>
      <c r="AA221" s="255">
        <f t="shared" si="185"/>
        <v>0</v>
      </c>
      <c r="AB221" s="255">
        <f t="shared" si="185"/>
        <v>0</v>
      </c>
      <c r="AC221" s="255">
        <f t="shared" si="185"/>
        <v>0</v>
      </c>
      <c r="AD221" s="1050"/>
      <c r="AE221" s="1050"/>
      <c r="AF221" s="1050"/>
      <c r="AG221" s="1047"/>
      <c r="AH221" s="1045"/>
      <c r="AI221" s="1045"/>
      <c r="AJ221" s="1045"/>
      <c r="AK221" s="1045"/>
      <c r="AL221" s="1045"/>
      <c r="AM221" s="1045"/>
      <c r="AN221" s="1045"/>
      <c r="AO221" s="1045"/>
      <c r="AP221" s="1045"/>
      <c r="AQ221" s="1045"/>
      <c r="AR221" s="1045"/>
      <c r="AS221" s="1045"/>
      <c r="AT221" s="190" t="s">
        <v>132</v>
      </c>
      <c r="AU221" s="575"/>
      <c r="AV221" s="576"/>
      <c r="AW221" s="576"/>
      <c r="AX221" s="576"/>
      <c r="AY221" s="576"/>
      <c r="AZ221" s="576"/>
      <c r="BA221" s="576"/>
      <c r="BB221" s="577"/>
      <c r="BC221" s="579"/>
      <c r="BD221" s="582"/>
      <c r="BE221" s="246"/>
      <c r="BF221" s="246"/>
    </row>
    <row r="222" spans="1:58" s="168" customFormat="1" ht="45" customHeight="1" x14ac:dyDescent="0.25">
      <c r="A222" s="668" t="s">
        <v>230</v>
      </c>
      <c r="B222" s="800"/>
      <c r="C222" s="665">
        <v>6</v>
      </c>
      <c r="D222" s="1066"/>
      <c r="E222" s="1062"/>
      <c r="F222" s="824"/>
      <c r="G222" s="733"/>
      <c r="H222" s="719"/>
      <c r="I222" s="733" t="s">
        <v>397</v>
      </c>
      <c r="J222" s="925">
        <v>0.28000000000000003</v>
      </c>
      <c r="K222" s="733" t="s">
        <v>398</v>
      </c>
      <c r="L222" s="1181" t="s">
        <v>1126</v>
      </c>
      <c r="M222" s="733" t="str">
        <f>CONCATENATE(U222,$U$32,U223)</f>
        <v>Sumatoria del número de títulos evaluados documentalmente con los respectivos actos administrativos (auto o resolución)  firmados y notificados /  Número de títulos programado en el periodo</v>
      </c>
      <c r="N222" s="733" t="s">
        <v>399</v>
      </c>
      <c r="O222" s="804" t="s">
        <v>359</v>
      </c>
      <c r="P222" s="925">
        <v>0.25</v>
      </c>
      <c r="Q222" s="925">
        <v>1</v>
      </c>
      <c r="R222" s="925">
        <v>1</v>
      </c>
      <c r="S222" s="925">
        <v>1</v>
      </c>
      <c r="T222" s="808" t="s">
        <v>91</v>
      </c>
      <c r="U222" s="253" t="s">
        <v>400</v>
      </c>
      <c r="V222" s="250"/>
      <c r="W222" s="250"/>
      <c r="X222" s="250"/>
      <c r="Y222" s="250"/>
      <c r="Z222" s="130"/>
      <c r="AA222" s="130"/>
      <c r="AB222" s="130"/>
      <c r="AC222" s="130"/>
      <c r="AD222" s="1050"/>
      <c r="AE222" s="1050"/>
      <c r="AF222" s="1050"/>
      <c r="AG222" s="1047"/>
      <c r="AH222" s="1043" t="s">
        <v>387</v>
      </c>
      <c r="AI222" s="1043" t="s">
        <v>388</v>
      </c>
      <c r="AJ222" s="1043" t="s">
        <v>94</v>
      </c>
      <c r="AK222" s="1043"/>
      <c r="AL222" s="1043"/>
      <c r="AM222" s="1043"/>
      <c r="AN222" s="1043" t="s">
        <v>94</v>
      </c>
      <c r="AO222" s="1043"/>
      <c r="AP222" s="1043"/>
      <c r="AQ222" s="1043" t="s">
        <v>94</v>
      </c>
      <c r="AR222" s="1043"/>
      <c r="AS222" s="1043"/>
      <c r="AT222" s="190" t="s">
        <v>129</v>
      </c>
      <c r="AU222" s="203">
        <f t="shared" ref="AU222:BB222" si="186">+V224*$J$222</f>
        <v>0</v>
      </c>
      <c r="AV222" s="203">
        <f t="shared" si="186"/>
        <v>0</v>
      </c>
      <c r="AW222" s="203">
        <f t="shared" si="186"/>
        <v>0</v>
      </c>
      <c r="AX222" s="203">
        <f t="shared" si="186"/>
        <v>0</v>
      </c>
      <c r="AY222" s="203">
        <f t="shared" si="186"/>
        <v>0</v>
      </c>
      <c r="AZ222" s="203">
        <f t="shared" si="186"/>
        <v>0</v>
      </c>
      <c r="BA222" s="203">
        <f t="shared" si="186"/>
        <v>0</v>
      </c>
      <c r="BB222" s="203">
        <f t="shared" si="186"/>
        <v>0</v>
      </c>
      <c r="BC222" s="579"/>
      <c r="BD222" s="582"/>
      <c r="BE222" s="246"/>
      <c r="BF222" s="246"/>
    </row>
    <row r="223" spans="1:58" s="168" customFormat="1" ht="45" customHeight="1" x14ac:dyDescent="0.25">
      <c r="A223" s="668"/>
      <c r="B223" s="800"/>
      <c r="C223" s="665"/>
      <c r="D223" s="1066"/>
      <c r="E223" s="1062"/>
      <c r="F223" s="824"/>
      <c r="G223" s="733"/>
      <c r="H223" s="719"/>
      <c r="I223" s="733"/>
      <c r="J223" s="925"/>
      <c r="K223" s="733"/>
      <c r="L223" s="1181"/>
      <c r="M223" s="733"/>
      <c r="N223" s="733"/>
      <c r="O223" s="804"/>
      <c r="P223" s="925"/>
      <c r="Q223" s="925"/>
      <c r="R223" s="925"/>
      <c r="S223" s="925"/>
      <c r="T223" s="808"/>
      <c r="U223" s="247" t="s">
        <v>1127</v>
      </c>
      <c r="V223" s="220">
        <f>(6987*0.95)*0.2</f>
        <v>1327.53</v>
      </c>
      <c r="W223" s="220">
        <f t="shared" ref="W223" si="187">(6987*0.95)*0.2</f>
        <v>1327.53</v>
      </c>
      <c r="X223" s="251">
        <v>0.01</v>
      </c>
      <c r="Y223" s="251">
        <v>0.01</v>
      </c>
      <c r="Z223" s="220">
        <f>+V223</f>
        <v>1327.53</v>
      </c>
      <c r="AA223" s="220">
        <f>+V223+W223</f>
        <v>2655.06</v>
      </c>
      <c r="AB223" s="220">
        <f>+V223+W223+X223</f>
        <v>2655.07</v>
      </c>
      <c r="AC223" s="220">
        <f>+V223+W223+X223+Y223</f>
        <v>2655.0800000000004</v>
      </c>
      <c r="AD223" s="1050"/>
      <c r="AE223" s="1050"/>
      <c r="AF223" s="1050"/>
      <c r="AG223" s="1047"/>
      <c r="AH223" s="1044"/>
      <c r="AI223" s="1044"/>
      <c r="AJ223" s="1044"/>
      <c r="AK223" s="1044"/>
      <c r="AL223" s="1044"/>
      <c r="AM223" s="1044"/>
      <c r="AN223" s="1044"/>
      <c r="AO223" s="1044"/>
      <c r="AP223" s="1044"/>
      <c r="AQ223" s="1044"/>
      <c r="AR223" s="1044"/>
      <c r="AS223" s="1044"/>
      <c r="AT223" s="190" t="s">
        <v>131</v>
      </c>
      <c r="AU223" s="575"/>
      <c r="AV223" s="576"/>
      <c r="AW223" s="576"/>
      <c r="AX223" s="576"/>
      <c r="AY223" s="576"/>
      <c r="AZ223" s="576"/>
      <c r="BA223" s="576"/>
      <c r="BB223" s="577"/>
      <c r="BC223" s="579"/>
      <c r="BD223" s="582"/>
      <c r="BE223" s="246"/>
      <c r="BF223" s="246"/>
    </row>
    <row r="224" spans="1:58" s="168" customFormat="1" ht="24.95" customHeight="1" x14ac:dyDescent="0.25">
      <c r="A224" s="668"/>
      <c r="B224" s="800"/>
      <c r="C224" s="665"/>
      <c r="D224" s="1066"/>
      <c r="E224" s="1062"/>
      <c r="F224" s="824"/>
      <c r="G224" s="733"/>
      <c r="H224" s="719"/>
      <c r="I224" s="733"/>
      <c r="J224" s="925"/>
      <c r="K224" s="733"/>
      <c r="L224" s="1181"/>
      <c r="M224" s="733"/>
      <c r="N224" s="733"/>
      <c r="O224" s="804"/>
      <c r="P224" s="925"/>
      <c r="Q224" s="925"/>
      <c r="R224" s="925"/>
      <c r="S224" s="925"/>
      <c r="T224" s="808"/>
      <c r="U224" s="249" t="s">
        <v>96</v>
      </c>
      <c r="V224" s="255">
        <f t="shared" ref="V224:AC224" si="188">IF((V222/V223)&lt;$I$8,(V222/V223),IF((V222/V223)&lt;$J$8,(V222/V223),IF((V222/V223)&lt;$J$9,(V222/V223),IF((V222/V223)&gt;=$J$9,$J$9))))</f>
        <v>0</v>
      </c>
      <c r="W224" s="255">
        <f t="shared" si="188"/>
        <v>0</v>
      </c>
      <c r="X224" s="255">
        <f t="shared" si="188"/>
        <v>0</v>
      </c>
      <c r="Y224" s="255">
        <f t="shared" si="188"/>
        <v>0</v>
      </c>
      <c r="Z224" s="255">
        <f t="shared" si="188"/>
        <v>0</v>
      </c>
      <c r="AA224" s="255">
        <f t="shared" si="188"/>
        <v>0</v>
      </c>
      <c r="AB224" s="255">
        <f t="shared" si="188"/>
        <v>0</v>
      </c>
      <c r="AC224" s="255">
        <f t="shared" si="188"/>
        <v>0</v>
      </c>
      <c r="AD224" s="1050"/>
      <c r="AE224" s="1050"/>
      <c r="AF224" s="1050"/>
      <c r="AG224" s="1047"/>
      <c r="AH224" s="1045"/>
      <c r="AI224" s="1045"/>
      <c r="AJ224" s="1045"/>
      <c r="AK224" s="1045"/>
      <c r="AL224" s="1045"/>
      <c r="AM224" s="1045"/>
      <c r="AN224" s="1045"/>
      <c r="AO224" s="1045"/>
      <c r="AP224" s="1045"/>
      <c r="AQ224" s="1045"/>
      <c r="AR224" s="1045"/>
      <c r="AS224" s="1045"/>
      <c r="AT224" s="190" t="s">
        <v>132</v>
      </c>
      <c r="AU224" s="575"/>
      <c r="AV224" s="576"/>
      <c r="AW224" s="576"/>
      <c r="AX224" s="576"/>
      <c r="AY224" s="576"/>
      <c r="AZ224" s="576"/>
      <c r="BA224" s="576"/>
      <c r="BB224" s="577"/>
      <c r="BC224" s="579"/>
      <c r="BD224" s="582"/>
      <c r="BE224" s="246"/>
      <c r="BF224" s="246"/>
    </row>
    <row r="225" spans="1:58" s="168" customFormat="1" ht="45" customHeight="1" x14ac:dyDescent="0.25">
      <c r="A225" s="256"/>
      <c r="B225" s="664"/>
      <c r="C225" s="665">
        <v>7</v>
      </c>
      <c r="D225" s="1066"/>
      <c r="E225" s="1062"/>
      <c r="F225" s="824"/>
      <c r="G225" s="733"/>
      <c r="H225" s="719"/>
      <c r="I225" s="733" t="s">
        <v>401</v>
      </c>
      <c r="J225" s="925">
        <v>0.04</v>
      </c>
      <c r="K225" s="733" t="s">
        <v>402</v>
      </c>
      <c r="L225" s="733" t="s">
        <v>403</v>
      </c>
      <c r="M225" s="733" t="str">
        <f>CONCATENATE(U225,$U$32,U226)</f>
        <v xml:space="preserve">Número de  notificaciones de los informes de fiscalización  realizadas oportunamente y que debieron realizarse / Número de notificaciones de los informes de fiscalización que debieron realizarse </v>
      </c>
      <c r="N225" s="733" t="s">
        <v>404</v>
      </c>
      <c r="O225" s="804" t="s">
        <v>359</v>
      </c>
      <c r="P225" s="925">
        <v>0.04</v>
      </c>
      <c r="Q225" s="925">
        <v>0.19</v>
      </c>
      <c r="R225" s="925">
        <v>1</v>
      </c>
      <c r="S225" s="925">
        <v>1</v>
      </c>
      <c r="T225" s="808" t="s">
        <v>151</v>
      </c>
      <c r="U225" s="253" t="s">
        <v>405</v>
      </c>
      <c r="V225" s="250"/>
      <c r="W225" s="250"/>
      <c r="X225" s="250"/>
      <c r="Y225" s="250"/>
      <c r="Z225" s="130"/>
      <c r="AA225" s="130"/>
      <c r="AB225" s="130"/>
      <c r="AC225" s="130"/>
      <c r="AD225" s="1050"/>
      <c r="AE225" s="1050"/>
      <c r="AF225" s="1050"/>
      <c r="AG225" s="1047"/>
      <c r="AH225" s="1043" t="s">
        <v>387</v>
      </c>
      <c r="AI225" s="1043" t="s">
        <v>388</v>
      </c>
      <c r="AJ225" s="1043" t="s">
        <v>94</v>
      </c>
      <c r="AK225" s="1043"/>
      <c r="AL225" s="1043"/>
      <c r="AM225" s="1043"/>
      <c r="AN225" s="1043" t="s">
        <v>94</v>
      </c>
      <c r="AO225" s="1043"/>
      <c r="AP225" s="1043"/>
      <c r="AQ225" s="1043" t="s">
        <v>94</v>
      </c>
      <c r="AR225" s="1043"/>
      <c r="AS225" s="1043"/>
      <c r="AT225" s="190" t="s">
        <v>129</v>
      </c>
      <c r="AU225" s="203">
        <f t="shared" ref="AU225:BB225" si="189">+V227*$J$225</f>
        <v>0</v>
      </c>
      <c r="AV225" s="203">
        <f t="shared" si="189"/>
        <v>0</v>
      </c>
      <c r="AW225" s="203">
        <f t="shared" si="189"/>
        <v>0</v>
      </c>
      <c r="AX225" s="203">
        <f t="shared" si="189"/>
        <v>0</v>
      </c>
      <c r="AY225" s="203">
        <f t="shared" si="189"/>
        <v>0</v>
      </c>
      <c r="AZ225" s="203">
        <f t="shared" si="189"/>
        <v>0</v>
      </c>
      <c r="BA225" s="203">
        <f t="shared" si="189"/>
        <v>0</v>
      </c>
      <c r="BB225" s="203">
        <f t="shared" si="189"/>
        <v>0</v>
      </c>
      <c r="BC225" s="579"/>
      <c r="BD225" s="582"/>
      <c r="BE225" s="246"/>
      <c r="BF225" s="246"/>
    </row>
    <row r="226" spans="1:58" s="168" customFormat="1" ht="45" customHeight="1" x14ac:dyDescent="0.25">
      <c r="A226" s="256"/>
      <c r="B226" s="664"/>
      <c r="C226" s="665"/>
      <c r="D226" s="1066"/>
      <c r="E226" s="1062"/>
      <c r="F226" s="824"/>
      <c r="G226" s="733"/>
      <c r="H226" s="719"/>
      <c r="I226" s="733"/>
      <c r="J226" s="925"/>
      <c r="K226" s="733"/>
      <c r="L226" s="733"/>
      <c r="M226" s="733"/>
      <c r="N226" s="733"/>
      <c r="O226" s="804"/>
      <c r="P226" s="925"/>
      <c r="Q226" s="925"/>
      <c r="R226" s="925"/>
      <c r="S226" s="925"/>
      <c r="T226" s="808"/>
      <c r="U226" s="247" t="s">
        <v>406</v>
      </c>
      <c r="V226" s="251">
        <v>2956</v>
      </c>
      <c r="W226" s="251">
        <v>3528</v>
      </c>
      <c r="X226" s="251">
        <v>0.01</v>
      </c>
      <c r="Y226" s="251">
        <v>0.01</v>
      </c>
      <c r="Z226" s="251">
        <f>+V226</f>
        <v>2956</v>
      </c>
      <c r="AA226" s="251">
        <f>+V226+W226</f>
        <v>6484</v>
      </c>
      <c r="AB226" s="251">
        <f>+V226+W226+X226</f>
        <v>6484.01</v>
      </c>
      <c r="AC226" s="251">
        <f>+V226+W226+X226+Y226</f>
        <v>6484.02</v>
      </c>
      <c r="AD226" s="1050"/>
      <c r="AE226" s="1050"/>
      <c r="AF226" s="1050"/>
      <c r="AG226" s="1047"/>
      <c r="AH226" s="1044"/>
      <c r="AI226" s="1044"/>
      <c r="AJ226" s="1044"/>
      <c r="AK226" s="1044"/>
      <c r="AL226" s="1044"/>
      <c r="AM226" s="1044"/>
      <c r="AN226" s="1044"/>
      <c r="AO226" s="1044"/>
      <c r="AP226" s="1044"/>
      <c r="AQ226" s="1044"/>
      <c r="AR226" s="1044"/>
      <c r="AS226" s="1044"/>
      <c r="AT226" s="190" t="s">
        <v>131</v>
      </c>
      <c r="AU226" s="575"/>
      <c r="AV226" s="576"/>
      <c r="AW226" s="576"/>
      <c r="AX226" s="576"/>
      <c r="AY226" s="576"/>
      <c r="AZ226" s="576"/>
      <c r="BA226" s="576"/>
      <c r="BB226" s="577"/>
      <c r="BC226" s="579"/>
      <c r="BD226" s="582"/>
      <c r="BE226" s="246"/>
      <c r="BF226" s="246"/>
    </row>
    <row r="227" spans="1:58" s="168" customFormat="1" ht="24.95" customHeight="1" x14ac:dyDescent="0.25">
      <c r="A227" s="256"/>
      <c r="B227" s="664"/>
      <c r="C227" s="665"/>
      <c r="D227" s="1066"/>
      <c r="E227" s="1062"/>
      <c r="F227" s="824"/>
      <c r="G227" s="733"/>
      <c r="H227" s="719"/>
      <c r="I227" s="733"/>
      <c r="J227" s="925"/>
      <c r="K227" s="733"/>
      <c r="L227" s="733"/>
      <c r="M227" s="733"/>
      <c r="N227" s="733"/>
      <c r="O227" s="804"/>
      <c r="P227" s="925"/>
      <c r="Q227" s="925"/>
      <c r="R227" s="925"/>
      <c r="S227" s="925"/>
      <c r="T227" s="808"/>
      <c r="U227" s="249" t="s">
        <v>96</v>
      </c>
      <c r="V227" s="255">
        <f t="shared" ref="V227:AC227" si="190">IF((V225/V226)&lt;$I$8,(V225/V226),IF((V225/V226)&lt;$J$8,(V225/V226),IF((V225/V226)&lt;$J$9,(V225/V226),IF((V225/V226)&gt;=$J$9,$J$9))))</f>
        <v>0</v>
      </c>
      <c r="W227" s="255">
        <f t="shared" si="190"/>
        <v>0</v>
      </c>
      <c r="X227" s="255">
        <f t="shared" si="190"/>
        <v>0</v>
      </c>
      <c r="Y227" s="255">
        <f t="shared" si="190"/>
        <v>0</v>
      </c>
      <c r="Z227" s="255">
        <f t="shared" si="190"/>
        <v>0</v>
      </c>
      <c r="AA227" s="255">
        <f t="shared" si="190"/>
        <v>0</v>
      </c>
      <c r="AB227" s="255">
        <f t="shared" si="190"/>
        <v>0</v>
      </c>
      <c r="AC227" s="255">
        <f t="shared" si="190"/>
        <v>0</v>
      </c>
      <c r="AD227" s="1050"/>
      <c r="AE227" s="1050"/>
      <c r="AF227" s="1050"/>
      <c r="AG227" s="1047"/>
      <c r="AH227" s="1045"/>
      <c r="AI227" s="1045"/>
      <c r="AJ227" s="1045"/>
      <c r="AK227" s="1045"/>
      <c r="AL227" s="1045"/>
      <c r="AM227" s="1045"/>
      <c r="AN227" s="1045"/>
      <c r="AO227" s="1045"/>
      <c r="AP227" s="1045"/>
      <c r="AQ227" s="1045"/>
      <c r="AR227" s="1045"/>
      <c r="AS227" s="1045"/>
      <c r="AT227" s="190" t="s">
        <v>132</v>
      </c>
      <c r="AU227" s="575"/>
      <c r="AV227" s="576"/>
      <c r="AW227" s="576"/>
      <c r="AX227" s="576"/>
      <c r="AY227" s="576"/>
      <c r="AZ227" s="576"/>
      <c r="BA227" s="576"/>
      <c r="BB227" s="577"/>
      <c r="BC227" s="579"/>
      <c r="BD227" s="582"/>
      <c r="BE227" s="246"/>
      <c r="BF227" s="246"/>
    </row>
    <row r="228" spans="1:58" s="168" customFormat="1" ht="65.099999999999994" customHeight="1" x14ac:dyDescent="0.25">
      <c r="A228" s="256"/>
      <c r="B228" s="664"/>
      <c r="C228" s="665">
        <v>8</v>
      </c>
      <c r="D228" s="1066"/>
      <c r="E228" s="1062"/>
      <c r="F228" s="824"/>
      <c r="G228" s="733"/>
      <c r="H228" s="719"/>
      <c r="I228" s="733" t="s">
        <v>407</v>
      </c>
      <c r="J228" s="925">
        <v>0.06</v>
      </c>
      <c r="K228" s="733" t="s">
        <v>408</v>
      </c>
      <c r="L228" s="733" t="s">
        <v>409</v>
      </c>
      <c r="M228" s="733" t="str">
        <f>CONCATENATE(U228,$U$32,U229)</f>
        <v>[Número de acciones de control (Caducidades o multas) interpuestas a los titulares mineros asociados a requerimientos efectuados en un periodo de tiempo (semestre)  /  Número de requerimientos efectuados en el periodo de tiempo (Semestre)</v>
      </c>
      <c r="N228" s="733" t="s">
        <v>410</v>
      </c>
      <c r="O228" s="804" t="s">
        <v>411</v>
      </c>
      <c r="P228" s="925">
        <v>0.06</v>
      </c>
      <c r="Q228" s="925" t="s">
        <v>394</v>
      </c>
      <c r="R228" s="925" t="s">
        <v>412</v>
      </c>
      <c r="S228" s="925" t="s">
        <v>412</v>
      </c>
      <c r="T228" s="808" t="s">
        <v>91</v>
      </c>
      <c r="U228" s="253" t="s">
        <v>413</v>
      </c>
      <c r="V228" s="250"/>
      <c r="W228" s="250"/>
      <c r="X228" s="250"/>
      <c r="Y228" s="250"/>
      <c r="Z228" s="130"/>
      <c r="AA228" s="130"/>
      <c r="AB228" s="130"/>
      <c r="AC228" s="130"/>
      <c r="AD228" s="1050"/>
      <c r="AE228" s="1050"/>
      <c r="AF228" s="1050"/>
      <c r="AG228" s="1047"/>
      <c r="AH228" s="1043" t="s">
        <v>387</v>
      </c>
      <c r="AI228" s="1043" t="s">
        <v>388</v>
      </c>
      <c r="AJ228" s="1043" t="s">
        <v>94</v>
      </c>
      <c r="AK228" s="1043"/>
      <c r="AL228" s="1043"/>
      <c r="AM228" s="1043"/>
      <c r="AN228" s="1043" t="s">
        <v>94</v>
      </c>
      <c r="AO228" s="1043"/>
      <c r="AP228" s="1043"/>
      <c r="AQ228" s="1043" t="s">
        <v>94</v>
      </c>
      <c r="AR228" s="1043"/>
      <c r="AS228" s="1043"/>
      <c r="AT228" s="190" t="s">
        <v>129</v>
      </c>
      <c r="AU228" s="131">
        <f t="shared" ref="AU228:BB228" si="191">+V230*$J$228</f>
        <v>0</v>
      </c>
      <c r="AV228" s="203">
        <f t="shared" si="191"/>
        <v>0</v>
      </c>
      <c r="AW228" s="203">
        <f t="shared" si="191"/>
        <v>0</v>
      </c>
      <c r="AX228" s="203">
        <f t="shared" si="191"/>
        <v>0</v>
      </c>
      <c r="AY228" s="131">
        <f t="shared" si="191"/>
        <v>0</v>
      </c>
      <c r="AZ228" s="203">
        <f t="shared" si="191"/>
        <v>0</v>
      </c>
      <c r="BA228" s="203">
        <f t="shared" si="191"/>
        <v>0</v>
      </c>
      <c r="BB228" s="203">
        <f t="shared" si="191"/>
        <v>0</v>
      </c>
      <c r="BC228" s="579"/>
      <c r="BD228" s="582"/>
      <c r="BE228" s="246"/>
      <c r="BF228" s="246"/>
    </row>
    <row r="229" spans="1:58" s="168" customFormat="1" ht="65.099999999999994" customHeight="1" x14ac:dyDescent="0.25">
      <c r="A229" s="256"/>
      <c r="B229" s="664"/>
      <c r="C229" s="665"/>
      <c r="D229" s="1066"/>
      <c r="E229" s="1062"/>
      <c r="F229" s="824"/>
      <c r="G229" s="733"/>
      <c r="H229" s="719"/>
      <c r="I229" s="733"/>
      <c r="J229" s="925"/>
      <c r="K229" s="733"/>
      <c r="L229" s="733"/>
      <c r="M229" s="733"/>
      <c r="N229" s="733"/>
      <c r="O229" s="804"/>
      <c r="P229" s="925"/>
      <c r="Q229" s="925"/>
      <c r="R229" s="925"/>
      <c r="S229" s="925"/>
      <c r="T229" s="808"/>
      <c r="U229" s="247" t="s">
        <v>414</v>
      </c>
      <c r="V229" s="251">
        <v>0.01</v>
      </c>
      <c r="W229" s="251">
        <v>251</v>
      </c>
      <c r="X229" s="251">
        <v>0.01</v>
      </c>
      <c r="Y229" s="251">
        <v>0.01</v>
      </c>
      <c r="Z229" s="251">
        <v>0.01</v>
      </c>
      <c r="AA229" s="251">
        <v>0.01</v>
      </c>
      <c r="AB229" s="251">
        <v>0.01</v>
      </c>
      <c r="AC229" s="251">
        <v>0.01</v>
      </c>
      <c r="AD229" s="1050"/>
      <c r="AE229" s="1050"/>
      <c r="AF229" s="1050"/>
      <c r="AG229" s="1047"/>
      <c r="AH229" s="1044"/>
      <c r="AI229" s="1044"/>
      <c r="AJ229" s="1044"/>
      <c r="AK229" s="1044"/>
      <c r="AL229" s="1044"/>
      <c r="AM229" s="1044"/>
      <c r="AN229" s="1044"/>
      <c r="AO229" s="1044"/>
      <c r="AP229" s="1044"/>
      <c r="AQ229" s="1044"/>
      <c r="AR229" s="1044"/>
      <c r="AS229" s="1044"/>
      <c r="AT229" s="190" t="s">
        <v>131</v>
      </c>
      <c r="AU229" s="575"/>
      <c r="AV229" s="576"/>
      <c r="AW229" s="576"/>
      <c r="AX229" s="576"/>
      <c r="AY229" s="576"/>
      <c r="AZ229" s="576"/>
      <c r="BA229" s="576"/>
      <c r="BB229" s="577"/>
      <c r="BC229" s="579"/>
      <c r="BD229" s="582"/>
      <c r="BE229" s="246"/>
      <c r="BF229" s="246"/>
    </row>
    <row r="230" spans="1:58" s="168" customFormat="1" ht="24.95" customHeight="1" x14ac:dyDescent="0.25">
      <c r="A230" s="256"/>
      <c r="B230" s="664"/>
      <c r="C230" s="665"/>
      <c r="D230" s="1066"/>
      <c r="E230" s="1062"/>
      <c r="F230" s="824"/>
      <c r="G230" s="733"/>
      <c r="H230" s="719"/>
      <c r="I230" s="733"/>
      <c r="J230" s="925"/>
      <c r="K230" s="733"/>
      <c r="L230" s="733"/>
      <c r="M230" s="733"/>
      <c r="N230" s="733"/>
      <c r="O230" s="804"/>
      <c r="P230" s="925"/>
      <c r="Q230" s="925"/>
      <c r="R230" s="925"/>
      <c r="S230" s="925"/>
      <c r="T230" s="808"/>
      <c r="U230" s="249" t="s">
        <v>96</v>
      </c>
      <c r="V230" s="131">
        <f t="shared" ref="V230:AC230" si="192">IF((V228/V229)&lt;$I$8,(V228/V229),IF((V228/V229)&lt;$J$8,(V228/V229),IF((V228/V229)&lt;$J$9,(V228/V229),IF((V228/V229)&gt;=$J$9,$J$9))))</f>
        <v>0</v>
      </c>
      <c r="W230" s="255">
        <f t="shared" si="192"/>
        <v>0</v>
      </c>
      <c r="X230" s="255">
        <f t="shared" si="192"/>
        <v>0</v>
      </c>
      <c r="Y230" s="255">
        <f t="shared" si="192"/>
        <v>0</v>
      </c>
      <c r="Z230" s="131">
        <f t="shared" si="192"/>
        <v>0</v>
      </c>
      <c r="AA230" s="255">
        <f t="shared" si="192"/>
        <v>0</v>
      </c>
      <c r="AB230" s="255">
        <f t="shared" si="192"/>
        <v>0</v>
      </c>
      <c r="AC230" s="255">
        <f t="shared" si="192"/>
        <v>0</v>
      </c>
      <c r="AD230" s="1050"/>
      <c r="AE230" s="1050"/>
      <c r="AF230" s="1050"/>
      <c r="AG230" s="1047"/>
      <c r="AH230" s="1045"/>
      <c r="AI230" s="1045"/>
      <c r="AJ230" s="1045"/>
      <c r="AK230" s="1045"/>
      <c r="AL230" s="1045"/>
      <c r="AM230" s="1045"/>
      <c r="AN230" s="1045"/>
      <c r="AO230" s="1045"/>
      <c r="AP230" s="1045"/>
      <c r="AQ230" s="1045"/>
      <c r="AR230" s="1045"/>
      <c r="AS230" s="1045"/>
      <c r="AT230" s="190" t="s">
        <v>132</v>
      </c>
      <c r="AU230" s="575"/>
      <c r="AV230" s="576"/>
      <c r="AW230" s="576"/>
      <c r="AX230" s="576"/>
      <c r="AY230" s="576"/>
      <c r="AZ230" s="576"/>
      <c r="BA230" s="576"/>
      <c r="BB230" s="577"/>
      <c r="BC230" s="579"/>
      <c r="BD230" s="582"/>
      <c r="BE230" s="246"/>
      <c r="BF230" s="246"/>
    </row>
    <row r="231" spans="1:58" s="168" customFormat="1" ht="45" customHeight="1" x14ac:dyDescent="0.25">
      <c r="A231" s="256"/>
      <c r="B231" s="664"/>
      <c r="C231" s="665">
        <v>9</v>
      </c>
      <c r="D231" s="1066"/>
      <c r="E231" s="1062"/>
      <c r="F231" s="824"/>
      <c r="G231" s="733"/>
      <c r="H231" s="719"/>
      <c r="I231" s="733" t="s">
        <v>415</v>
      </c>
      <c r="J231" s="925">
        <v>0.08</v>
      </c>
      <c r="K231" s="733" t="s">
        <v>416</v>
      </c>
      <c r="L231" s="733" t="s">
        <v>417</v>
      </c>
      <c r="M231" s="733" t="str">
        <f>CONCATENATE(U231,$U$32,U232)</f>
        <v>No conformidades de la vigencia anterior evaluadas en la vigencia actual y subsanadas por parte del titular minero / No conformides subsanadas por parte del titular minero de las evaluadas</v>
      </c>
      <c r="N231" s="733" t="s">
        <v>418</v>
      </c>
      <c r="O231" s="804" t="s">
        <v>359</v>
      </c>
      <c r="P231" s="925">
        <v>0.08</v>
      </c>
      <c r="Q231" s="925">
        <v>0.53</v>
      </c>
      <c r="R231" s="925">
        <v>0.55000000000000004</v>
      </c>
      <c r="S231" s="925">
        <v>0.53</v>
      </c>
      <c r="T231" s="808" t="s">
        <v>151</v>
      </c>
      <c r="U231" s="253" t="s">
        <v>419</v>
      </c>
      <c r="V231" s="250"/>
      <c r="W231" s="250"/>
      <c r="X231" s="250"/>
      <c r="Y231" s="250"/>
      <c r="Z231" s="130"/>
      <c r="AA231" s="130"/>
      <c r="AB231" s="130"/>
      <c r="AC231" s="130"/>
      <c r="AD231" s="1050"/>
      <c r="AE231" s="1050"/>
      <c r="AF231" s="1050"/>
      <c r="AG231" s="1047"/>
      <c r="AH231" s="1043" t="s">
        <v>387</v>
      </c>
      <c r="AI231" s="1043" t="s">
        <v>388</v>
      </c>
      <c r="AJ231" s="1043" t="s">
        <v>94</v>
      </c>
      <c r="AK231" s="1043"/>
      <c r="AL231" s="1043"/>
      <c r="AM231" s="1043"/>
      <c r="AN231" s="1043"/>
      <c r="AO231" s="1043"/>
      <c r="AP231" s="1043" t="s">
        <v>94</v>
      </c>
      <c r="AQ231" s="1043"/>
      <c r="AR231" s="1043"/>
      <c r="AS231" s="1043" t="s">
        <v>94</v>
      </c>
      <c r="AT231" s="190" t="s">
        <v>129</v>
      </c>
      <c r="AU231" s="203">
        <f t="shared" ref="AU231:BB231" si="193">+V233*$J$231</f>
        <v>0</v>
      </c>
      <c r="AV231" s="203">
        <f t="shared" si="193"/>
        <v>0</v>
      </c>
      <c r="AW231" s="203">
        <f t="shared" si="193"/>
        <v>0</v>
      </c>
      <c r="AX231" s="203">
        <f t="shared" si="193"/>
        <v>0</v>
      </c>
      <c r="AY231" s="203">
        <f t="shared" si="193"/>
        <v>0</v>
      </c>
      <c r="AZ231" s="203">
        <f t="shared" si="193"/>
        <v>0</v>
      </c>
      <c r="BA231" s="203">
        <f t="shared" si="193"/>
        <v>0</v>
      </c>
      <c r="BB231" s="203">
        <f t="shared" si="193"/>
        <v>0</v>
      </c>
      <c r="BC231" s="579"/>
      <c r="BD231" s="582"/>
      <c r="BE231" s="246"/>
      <c r="BF231" s="246"/>
    </row>
    <row r="232" spans="1:58" s="168" customFormat="1" ht="45" customHeight="1" x14ac:dyDescent="0.25">
      <c r="A232" s="256"/>
      <c r="B232" s="664"/>
      <c r="C232" s="665"/>
      <c r="D232" s="1066"/>
      <c r="E232" s="1062"/>
      <c r="F232" s="824"/>
      <c r="G232" s="733"/>
      <c r="H232" s="719"/>
      <c r="I232" s="733"/>
      <c r="J232" s="925"/>
      <c r="K232" s="733"/>
      <c r="L232" s="733"/>
      <c r="M232" s="733"/>
      <c r="N232" s="733"/>
      <c r="O232" s="804"/>
      <c r="P232" s="925"/>
      <c r="Q232" s="925"/>
      <c r="R232" s="925"/>
      <c r="S232" s="925"/>
      <c r="T232" s="808"/>
      <c r="U232" s="247" t="s">
        <v>420</v>
      </c>
      <c r="V232" s="251">
        <v>649</v>
      </c>
      <c r="W232" s="251">
        <v>1639</v>
      </c>
      <c r="X232" s="251">
        <v>0.01</v>
      </c>
      <c r="Y232" s="251">
        <v>0.01</v>
      </c>
      <c r="Z232" s="251">
        <f>+V232</f>
        <v>649</v>
      </c>
      <c r="AA232" s="251">
        <f>+V232+W232</f>
        <v>2288</v>
      </c>
      <c r="AB232" s="251">
        <f>+V232+W232+X232</f>
        <v>2288.0100000000002</v>
      </c>
      <c r="AC232" s="251">
        <f>+V232+W232+X232+Y232</f>
        <v>2288.0200000000004</v>
      </c>
      <c r="AD232" s="1050"/>
      <c r="AE232" s="1050"/>
      <c r="AF232" s="1050"/>
      <c r="AG232" s="1047"/>
      <c r="AH232" s="1044"/>
      <c r="AI232" s="1044"/>
      <c r="AJ232" s="1044"/>
      <c r="AK232" s="1044"/>
      <c r="AL232" s="1044"/>
      <c r="AM232" s="1044"/>
      <c r="AN232" s="1044"/>
      <c r="AO232" s="1044"/>
      <c r="AP232" s="1044"/>
      <c r="AQ232" s="1044"/>
      <c r="AR232" s="1044"/>
      <c r="AS232" s="1044"/>
      <c r="AT232" s="190" t="s">
        <v>131</v>
      </c>
      <c r="AU232" s="575"/>
      <c r="AV232" s="576"/>
      <c r="AW232" s="576"/>
      <c r="AX232" s="576"/>
      <c r="AY232" s="576"/>
      <c r="AZ232" s="576"/>
      <c r="BA232" s="576"/>
      <c r="BB232" s="577"/>
      <c r="BC232" s="579"/>
      <c r="BD232" s="582"/>
      <c r="BE232" s="246"/>
      <c r="BF232" s="246"/>
    </row>
    <row r="233" spans="1:58" s="168" customFormat="1" ht="24.95" customHeight="1" x14ac:dyDescent="0.25">
      <c r="A233" s="256"/>
      <c r="B233" s="664"/>
      <c r="C233" s="665"/>
      <c r="D233" s="1066"/>
      <c r="E233" s="1062"/>
      <c r="F233" s="824"/>
      <c r="G233" s="733"/>
      <c r="H233" s="719"/>
      <c r="I233" s="733"/>
      <c r="J233" s="925"/>
      <c r="K233" s="733"/>
      <c r="L233" s="733"/>
      <c r="M233" s="733"/>
      <c r="N233" s="733"/>
      <c r="O233" s="804"/>
      <c r="P233" s="925"/>
      <c r="Q233" s="925"/>
      <c r="R233" s="925"/>
      <c r="S233" s="925"/>
      <c r="T233" s="808"/>
      <c r="U233" s="249" t="s">
        <v>96</v>
      </c>
      <c r="V233" s="255">
        <f t="shared" ref="V233:AC233" si="194">IF((V231/V232)&lt;$I$8,(V231/V232),IF((V231/V232)&lt;$J$8,(V231/V232),IF((V231/V232)&lt;$J$9,(V231/V232),IF((V231/V232)&gt;=$J$9,$J$9))))</f>
        <v>0</v>
      </c>
      <c r="W233" s="255">
        <f t="shared" si="194"/>
        <v>0</v>
      </c>
      <c r="X233" s="255">
        <f t="shared" si="194"/>
        <v>0</v>
      </c>
      <c r="Y233" s="255">
        <f t="shared" si="194"/>
        <v>0</v>
      </c>
      <c r="Z233" s="255">
        <f t="shared" si="194"/>
        <v>0</v>
      </c>
      <c r="AA233" s="255">
        <f t="shared" si="194"/>
        <v>0</v>
      </c>
      <c r="AB233" s="255">
        <f t="shared" si="194"/>
        <v>0</v>
      </c>
      <c r="AC233" s="255">
        <f t="shared" si="194"/>
        <v>0</v>
      </c>
      <c r="AD233" s="1050"/>
      <c r="AE233" s="1050"/>
      <c r="AF233" s="1050"/>
      <c r="AG233" s="1047"/>
      <c r="AH233" s="1045"/>
      <c r="AI233" s="1045"/>
      <c r="AJ233" s="1045"/>
      <c r="AK233" s="1045"/>
      <c r="AL233" s="1045"/>
      <c r="AM233" s="1045"/>
      <c r="AN233" s="1045"/>
      <c r="AO233" s="1045"/>
      <c r="AP233" s="1045"/>
      <c r="AQ233" s="1045"/>
      <c r="AR233" s="1045"/>
      <c r="AS233" s="1045"/>
      <c r="AT233" s="190" t="s">
        <v>132</v>
      </c>
      <c r="AU233" s="575"/>
      <c r="AV233" s="576"/>
      <c r="AW233" s="576"/>
      <c r="AX233" s="576"/>
      <c r="AY233" s="576"/>
      <c r="AZ233" s="576"/>
      <c r="BA233" s="576"/>
      <c r="BB233" s="577"/>
      <c r="BC233" s="579"/>
      <c r="BD233" s="582"/>
      <c r="BE233" s="246"/>
      <c r="BF233" s="246"/>
    </row>
    <row r="234" spans="1:58" s="168" customFormat="1" ht="45" customHeight="1" x14ac:dyDescent="0.25">
      <c r="A234" s="256"/>
      <c r="B234" s="664"/>
      <c r="C234" s="665">
        <v>10</v>
      </c>
      <c r="D234" s="1066"/>
      <c r="E234" s="1062"/>
      <c r="F234" s="824"/>
      <c r="G234" s="733"/>
      <c r="H234" s="719"/>
      <c r="I234" s="733" t="s">
        <v>421</v>
      </c>
      <c r="J234" s="925">
        <v>0.06</v>
      </c>
      <c r="K234" s="733" t="s">
        <v>422</v>
      </c>
      <c r="L234" s="733" t="s">
        <v>423</v>
      </c>
      <c r="M234" s="733" t="str">
        <f>CONCATENATE(U234,$U$32,U235)</f>
        <v>Solicitudes atendidas oportunamente y que debieron ser atendidas en el periodo / Solicitudes que debieron ser atendidas en el periodo</v>
      </c>
      <c r="N234" s="733" t="s">
        <v>399</v>
      </c>
      <c r="O234" s="804" t="s">
        <v>411</v>
      </c>
      <c r="P234" s="925">
        <v>0.06</v>
      </c>
      <c r="Q234" s="925">
        <v>0.51</v>
      </c>
      <c r="R234" s="925">
        <v>0.6</v>
      </c>
      <c r="S234" s="925">
        <v>0.6</v>
      </c>
      <c r="T234" s="808" t="s">
        <v>151</v>
      </c>
      <c r="U234" s="253" t="s">
        <v>424</v>
      </c>
      <c r="V234" s="250"/>
      <c r="W234" s="250"/>
      <c r="X234" s="250"/>
      <c r="Y234" s="250"/>
      <c r="Z234" s="130"/>
      <c r="AA234" s="130"/>
      <c r="AB234" s="130"/>
      <c r="AC234" s="130"/>
      <c r="AD234" s="1050"/>
      <c r="AE234" s="1050"/>
      <c r="AF234" s="1050"/>
      <c r="AG234" s="1047"/>
      <c r="AH234" s="1043" t="s">
        <v>387</v>
      </c>
      <c r="AI234" s="1043" t="s">
        <v>388</v>
      </c>
      <c r="AJ234" s="1043" t="s">
        <v>94</v>
      </c>
      <c r="AK234" s="1043"/>
      <c r="AL234" s="1043"/>
      <c r="AM234" s="1043"/>
      <c r="AN234" s="1043" t="s">
        <v>94</v>
      </c>
      <c r="AO234" s="1043"/>
      <c r="AP234" s="1043"/>
      <c r="AQ234" s="1043" t="s">
        <v>94</v>
      </c>
      <c r="AR234" s="1043"/>
      <c r="AS234" s="1043"/>
      <c r="AT234" s="190" t="s">
        <v>129</v>
      </c>
      <c r="AU234" s="131">
        <f t="shared" ref="AU234:BB234" si="195">+V236*$J$234</f>
        <v>0</v>
      </c>
      <c r="AV234" s="203">
        <f t="shared" si="195"/>
        <v>0</v>
      </c>
      <c r="AW234" s="203">
        <f t="shared" si="195"/>
        <v>0</v>
      </c>
      <c r="AX234" s="203">
        <f t="shared" si="195"/>
        <v>0</v>
      </c>
      <c r="AY234" s="131">
        <f t="shared" si="195"/>
        <v>0</v>
      </c>
      <c r="AZ234" s="203">
        <f t="shared" si="195"/>
        <v>0</v>
      </c>
      <c r="BA234" s="203">
        <f t="shared" si="195"/>
        <v>0</v>
      </c>
      <c r="BB234" s="203">
        <f t="shared" si="195"/>
        <v>0</v>
      </c>
      <c r="BC234" s="579"/>
      <c r="BD234" s="582"/>
      <c r="BE234" s="246"/>
      <c r="BF234" s="246"/>
    </row>
    <row r="235" spans="1:58" s="168" customFormat="1" ht="45" customHeight="1" x14ac:dyDescent="0.25">
      <c r="A235" s="256"/>
      <c r="B235" s="664"/>
      <c r="C235" s="665"/>
      <c r="D235" s="1066"/>
      <c r="E235" s="1062"/>
      <c r="F235" s="824"/>
      <c r="G235" s="733"/>
      <c r="H235" s="719"/>
      <c r="I235" s="733"/>
      <c r="J235" s="925"/>
      <c r="K235" s="733"/>
      <c r="L235" s="733"/>
      <c r="M235" s="733"/>
      <c r="N235" s="733"/>
      <c r="O235" s="804"/>
      <c r="P235" s="925"/>
      <c r="Q235" s="925"/>
      <c r="R235" s="925"/>
      <c r="S235" s="925"/>
      <c r="T235" s="808"/>
      <c r="U235" s="247" t="s">
        <v>425</v>
      </c>
      <c r="V235" s="219">
        <v>183</v>
      </c>
      <c r="W235" s="219">
        <v>373</v>
      </c>
      <c r="X235" s="219">
        <v>0.01</v>
      </c>
      <c r="Y235" s="219">
        <v>0.01</v>
      </c>
      <c r="Z235" s="251">
        <f>+V235</f>
        <v>183</v>
      </c>
      <c r="AA235" s="251">
        <f>+V235+W235</f>
        <v>556</v>
      </c>
      <c r="AB235" s="251">
        <f>+V235+W235+X235</f>
        <v>556.01</v>
      </c>
      <c r="AC235" s="251">
        <f>+V235+W235+X235+Y235</f>
        <v>556.02</v>
      </c>
      <c r="AD235" s="1050"/>
      <c r="AE235" s="1050"/>
      <c r="AF235" s="1050"/>
      <c r="AG235" s="1047"/>
      <c r="AH235" s="1044"/>
      <c r="AI235" s="1044"/>
      <c r="AJ235" s="1044"/>
      <c r="AK235" s="1044"/>
      <c r="AL235" s="1044"/>
      <c r="AM235" s="1044"/>
      <c r="AN235" s="1044"/>
      <c r="AO235" s="1044"/>
      <c r="AP235" s="1044"/>
      <c r="AQ235" s="1044"/>
      <c r="AR235" s="1044"/>
      <c r="AS235" s="1044"/>
      <c r="AT235" s="190" t="s">
        <v>131</v>
      </c>
      <c r="AU235" s="575"/>
      <c r="AV235" s="576"/>
      <c r="AW235" s="576"/>
      <c r="AX235" s="576"/>
      <c r="AY235" s="576"/>
      <c r="AZ235" s="576"/>
      <c r="BA235" s="576"/>
      <c r="BB235" s="577"/>
      <c r="BC235" s="579"/>
      <c r="BD235" s="582"/>
      <c r="BE235" s="246"/>
      <c r="BF235" s="246"/>
    </row>
    <row r="236" spans="1:58" s="168" customFormat="1" ht="24.95" customHeight="1" x14ac:dyDescent="0.25">
      <c r="A236" s="256"/>
      <c r="B236" s="664"/>
      <c r="C236" s="665"/>
      <c r="D236" s="1066"/>
      <c r="E236" s="1062"/>
      <c r="F236" s="824"/>
      <c r="G236" s="733"/>
      <c r="H236" s="719"/>
      <c r="I236" s="733"/>
      <c r="J236" s="925"/>
      <c r="K236" s="733"/>
      <c r="L236" s="733"/>
      <c r="M236" s="733"/>
      <c r="N236" s="733"/>
      <c r="O236" s="804"/>
      <c r="P236" s="925"/>
      <c r="Q236" s="925"/>
      <c r="R236" s="925"/>
      <c r="S236" s="925"/>
      <c r="T236" s="808"/>
      <c r="U236" s="249" t="s">
        <v>96</v>
      </c>
      <c r="V236" s="131">
        <f t="shared" ref="V236:Y236" si="196">IF((V234/V235)&lt;$I$8,(V234/V235),IF((V234/V235)&lt;$J$8,(V234/V235),IF((V234/V235)&lt;$J$9,(V234/V235),IF((V234/V235)&gt;=$J$9,$J$9))))</f>
        <v>0</v>
      </c>
      <c r="W236" s="195">
        <f t="shared" si="196"/>
        <v>0</v>
      </c>
      <c r="X236" s="195">
        <f t="shared" si="196"/>
        <v>0</v>
      </c>
      <c r="Y236" s="195">
        <f t="shared" si="196"/>
        <v>0</v>
      </c>
      <c r="Z236" s="131">
        <f>IF((Z234/Z235)&lt;$I$8,(Z234/Z235),IF((Z234/Z235)&lt;$J$8,(Z234/Z235),IF((Z234/Z235)&lt;$J$9,(Z234/Z235),IF((Z234/Z235)&gt;=$J$9,$J$9))))</f>
        <v>0</v>
      </c>
      <c r="AA236" s="195">
        <f>IF((AA234/AA235)&lt;$I$8,(AA234/AA235),IF((AA234/AA235)&lt;$J$8,(AA234/AA235),IF((AA234/AA235)&lt;$J$9,(AA234/AA235),IF((AA234/AA235)&gt;=$J$9,$J$9))))</f>
        <v>0</v>
      </c>
      <c r="AB236" s="195">
        <f>IF((AB234/AB235)&lt;$I$8,(AB234/AB235),IF((AB234/AB235)&lt;$J$8,(AB234/AB235),IF((AB234/AB235)&lt;$J$9,(AB234/AB235),IF((AB234/AB235)&gt;=$J$9,$J$9))))</f>
        <v>0</v>
      </c>
      <c r="AC236" s="195">
        <f>IF((AC234/AC235)&lt;$I$8,(AC234/AC235),IF((AC234/AC235)&lt;$J$8,(AC234/AC235),IF((AC234/AC235)&lt;$J$9,(AC234/AC235),IF((AC234/AC235)&gt;=$J$9,$J$9))))</f>
        <v>0</v>
      </c>
      <c r="AD236" s="1050"/>
      <c r="AE236" s="1050"/>
      <c r="AF236" s="1050"/>
      <c r="AG236" s="1047"/>
      <c r="AH236" s="1045"/>
      <c r="AI236" s="1045"/>
      <c r="AJ236" s="1045"/>
      <c r="AK236" s="1045"/>
      <c r="AL236" s="1045"/>
      <c r="AM236" s="1045"/>
      <c r="AN236" s="1045"/>
      <c r="AO236" s="1045"/>
      <c r="AP236" s="1045"/>
      <c r="AQ236" s="1045"/>
      <c r="AR236" s="1045"/>
      <c r="AS236" s="1045"/>
      <c r="AT236" s="190" t="s">
        <v>132</v>
      </c>
      <c r="AU236" s="575"/>
      <c r="AV236" s="576"/>
      <c r="AW236" s="576"/>
      <c r="AX236" s="576"/>
      <c r="AY236" s="576"/>
      <c r="AZ236" s="576"/>
      <c r="BA236" s="576"/>
      <c r="BB236" s="577"/>
      <c r="BC236" s="579"/>
      <c r="BD236" s="582"/>
      <c r="BE236" s="246"/>
      <c r="BF236" s="246"/>
    </row>
    <row r="237" spans="1:58" s="168" customFormat="1" ht="30" customHeight="1" x14ac:dyDescent="0.25">
      <c r="A237" s="257"/>
      <c r="B237" s="664"/>
      <c r="C237" s="673">
        <v>11</v>
      </c>
      <c r="D237" s="1066"/>
      <c r="E237" s="1062"/>
      <c r="F237" s="824"/>
      <c r="G237" s="733"/>
      <c r="H237" s="719"/>
      <c r="I237" s="733"/>
      <c r="J237" s="925">
        <v>0.1</v>
      </c>
      <c r="K237" s="733" t="s">
        <v>426</v>
      </c>
      <c r="L237" s="733" t="s">
        <v>427</v>
      </c>
      <c r="M237" s="733" t="str">
        <f>CONCATENATE(U237,$U$32,U238)</f>
        <v>No de solicitudes gestionadas en el periodo / No de solicitudes programadas en el periodo</v>
      </c>
      <c r="N237" s="733" t="s">
        <v>399</v>
      </c>
      <c r="O237" s="804" t="s">
        <v>411</v>
      </c>
      <c r="P237" s="925">
        <v>0.1</v>
      </c>
      <c r="Q237" s="925">
        <v>0.85</v>
      </c>
      <c r="R237" s="925">
        <v>1</v>
      </c>
      <c r="S237" s="925">
        <v>1</v>
      </c>
      <c r="T237" s="808" t="s">
        <v>151</v>
      </c>
      <c r="U237" s="253" t="s">
        <v>428</v>
      </c>
      <c r="V237" s="250"/>
      <c r="W237" s="250"/>
      <c r="X237" s="250"/>
      <c r="Y237" s="250"/>
      <c r="Z237" s="130"/>
      <c r="AA237" s="130"/>
      <c r="AB237" s="130"/>
      <c r="AC237" s="130"/>
      <c r="AD237" s="1050"/>
      <c r="AE237" s="1050"/>
      <c r="AF237" s="1050"/>
      <c r="AG237" s="1047"/>
      <c r="AH237" s="1043" t="s">
        <v>387</v>
      </c>
      <c r="AI237" s="1043" t="s">
        <v>388</v>
      </c>
      <c r="AJ237" s="1043" t="s">
        <v>94</v>
      </c>
      <c r="AK237" s="1043"/>
      <c r="AL237" s="1043"/>
      <c r="AM237" s="1043"/>
      <c r="AN237" s="1043" t="s">
        <v>94</v>
      </c>
      <c r="AO237" s="1043"/>
      <c r="AP237" s="1043"/>
      <c r="AQ237" s="1043" t="s">
        <v>94</v>
      </c>
      <c r="AR237" s="1043"/>
      <c r="AS237" s="1043"/>
      <c r="AT237" s="190" t="s">
        <v>129</v>
      </c>
      <c r="AU237" s="203">
        <f t="shared" ref="AU237:BB237" si="197">+V239*$J$237</f>
        <v>0</v>
      </c>
      <c r="AV237" s="203">
        <f t="shared" si="197"/>
        <v>0</v>
      </c>
      <c r="AW237" s="131">
        <f t="shared" si="197"/>
        <v>0</v>
      </c>
      <c r="AX237" s="131">
        <f t="shared" si="197"/>
        <v>0</v>
      </c>
      <c r="AY237" s="203">
        <f t="shared" si="197"/>
        <v>0</v>
      </c>
      <c r="AZ237" s="203">
        <f t="shared" si="197"/>
        <v>0</v>
      </c>
      <c r="BA237" s="131">
        <f t="shared" si="197"/>
        <v>0</v>
      </c>
      <c r="BB237" s="131">
        <f t="shared" si="197"/>
        <v>0</v>
      </c>
      <c r="BC237" s="579"/>
      <c r="BD237" s="582"/>
      <c r="BE237" s="246"/>
      <c r="BF237" s="246"/>
    </row>
    <row r="238" spans="1:58" s="168" customFormat="1" ht="30" customHeight="1" x14ac:dyDescent="0.25">
      <c r="A238" s="257"/>
      <c r="B238" s="664"/>
      <c r="C238" s="673"/>
      <c r="D238" s="1066"/>
      <c r="E238" s="1062"/>
      <c r="F238" s="824"/>
      <c r="G238" s="733"/>
      <c r="H238" s="719"/>
      <c r="I238" s="733"/>
      <c r="J238" s="925"/>
      <c r="K238" s="733"/>
      <c r="L238" s="733"/>
      <c r="M238" s="733"/>
      <c r="N238" s="733"/>
      <c r="O238" s="804"/>
      <c r="P238" s="925"/>
      <c r="Q238" s="925"/>
      <c r="R238" s="925"/>
      <c r="S238" s="925"/>
      <c r="T238" s="808"/>
      <c r="U238" s="247" t="s">
        <v>429</v>
      </c>
      <c r="V238" s="220">
        <v>232</v>
      </c>
      <c r="W238" s="220">
        <v>348</v>
      </c>
      <c r="X238" s="220">
        <v>0.01</v>
      </c>
      <c r="Y238" s="220">
        <v>0.01</v>
      </c>
      <c r="Z238" s="251">
        <f>+V238</f>
        <v>232</v>
      </c>
      <c r="AA238" s="251">
        <f>+V238+W238</f>
        <v>580</v>
      </c>
      <c r="AB238" s="251">
        <f>+V238+W238+X238</f>
        <v>580.01</v>
      </c>
      <c r="AC238" s="251">
        <f>+V238+W238+X238+Y238</f>
        <v>580.02</v>
      </c>
      <c r="AD238" s="1050"/>
      <c r="AE238" s="1050"/>
      <c r="AF238" s="1050"/>
      <c r="AG238" s="1047"/>
      <c r="AH238" s="1044"/>
      <c r="AI238" s="1044"/>
      <c r="AJ238" s="1044"/>
      <c r="AK238" s="1044"/>
      <c r="AL238" s="1044"/>
      <c r="AM238" s="1044"/>
      <c r="AN238" s="1044"/>
      <c r="AO238" s="1044"/>
      <c r="AP238" s="1044"/>
      <c r="AQ238" s="1044"/>
      <c r="AR238" s="1044"/>
      <c r="AS238" s="1044"/>
      <c r="AT238" s="190" t="s">
        <v>131</v>
      </c>
      <c r="AU238" s="575"/>
      <c r="AV238" s="576"/>
      <c r="AW238" s="576"/>
      <c r="AX238" s="576"/>
      <c r="AY238" s="576"/>
      <c r="AZ238" s="576"/>
      <c r="BA238" s="576"/>
      <c r="BB238" s="577"/>
      <c r="BC238" s="579"/>
      <c r="BD238" s="582"/>
      <c r="BE238" s="246"/>
      <c r="BF238" s="246"/>
    </row>
    <row r="239" spans="1:58" s="168" customFormat="1" ht="24.95" customHeight="1" x14ac:dyDescent="0.25">
      <c r="A239" s="257"/>
      <c r="B239" s="664"/>
      <c r="C239" s="673"/>
      <c r="D239" s="1066"/>
      <c r="E239" s="1062"/>
      <c r="F239" s="824"/>
      <c r="G239" s="733"/>
      <c r="H239" s="719"/>
      <c r="I239" s="733"/>
      <c r="J239" s="925"/>
      <c r="K239" s="733"/>
      <c r="L239" s="733"/>
      <c r="M239" s="733"/>
      <c r="N239" s="733"/>
      <c r="O239" s="804"/>
      <c r="P239" s="925"/>
      <c r="Q239" s="925"/>
      <c r="R239" s="925"/>
      <c r="S239" s="925"/>
      <c r="T239" s="808"/>
      <c r="U239" s="249" t="s">
        <v>96</v>
      </c>
      <c r="V239" s="255">
        <f t="shared" ref="V239:AC239" si="198">IF((V237/V238)&lt;$I$8,(V237/V238),IF((V237/V238)&lt;$J$8,(V237/V238),IF((V237/V238)&lt;$J$9,(V237/V238),IF((V237/V238)&gt;=$J$9,$J$9))))</f>
        <v>0</v>
      </c>
      <c r="W239" s="255">
        <f t="shared" si="198"/>
        <v>0</v>
      </c>
      <c r="X239" s="131">
        <f t="shared" si="198"/>
        <v>0</v>
      </c>
      <c r="Y239" s="131">
        <f t="shared" si="198"/>
        <v>0</v>
      </c>
      <c r="Z239" s="255">
        <f t="shared" si="198"/>
        <v>0</v>
      </c>
      <c r="AA239" s="255">
        <f t="shared" si="198"/>
        <v>0</v>
      </c>
      <c r="AB239" s="131">
        <f t="shared" si="198"/>
        <v>0</v>
      </c>
      <c r="AC239" s="131">
        <f t="shared" si="198"/>
        <v>0</v>
      </c>
      <c r="AD239" s="1050"/>
      <c r="AE239" s="1050"/>
      <c r="AF239" s="1050"/>
      <c r="AG239" s="1047"/>
      <c r="AH239" s="1045"/>
      <c r="AI239" s="1045"/>
      <c r="AJ239" s="1045"/>
      <c r="AK239" s="1045"/>
      <c r="AL239" s="1045"/>
      <c r="AM239" s="1045"/>
      <c r="AN239" s="1045"/>
      <c r="AO239" s="1045"/>
      <c r="AP239" s="1045"/>
      <c r="AQ239" s="1045"/>
      <c r="AR239" s="1045"/>
      <c r="AS239" s="1045"/>
      <c r="AT239" s="190" t="s">
        <v>132</v>
      </c>
      <c r="AU239" s="575"/>
      <c r="AV239" s="576"/>
      <c r="AW239" s="576"/>
      <c r="AX239" s="576"/>
      <c r="AY239" s="576"/>
      <c r="AZ239" s="576"/>
      <c r="BA239" s="576"/>
      <c r="BB239" s="577"/>
      <c r="BC239" s="580"/>
      <c r="BD239" s="582"/>
      <c r="BE239" s="246"/>
      <c r="BF239" s="246"/>
    </row>
    <row r="240" spans="1:58" s="168" customFormat="1" ht="30" customHeight="1" x14ac:dyDescent="0.25">
      <c r="A240" s="256"/>
      <c r="B240" s="800"/>
      <c r="C240" s="665">
        <v>12</v>
      </c>
      <c r="D240" s="1066"/>
      <c r="E240" s="743" t="s">
        <v>160</v>
      </c>
      <c r="F240" s="825">
        <v>0.03</v>
      </c>
      <c r="G240" s="719" t="s">
        <v>337</v>
      </c>
      <c r="H240" s="719">
        <v>1</v>
      </c>
      <c r="I240" s="733" t="s">
        <v>430</v>
      </c>
      <c r="J240" s="719">
        <v>1</v>
      </c>
      <c r="K240" s="733" t="s">
        <v>431</v>
      </c>
      <c r="L240" s="733" t="s">
        <v>432</v>
      </c>
      <c r="M240" s="733" t="str">
        <f>CONCATENATE(U240,$U$32,U241)</f>
        <v>No. de Procedimientos actualizados  / No. de Procedimientos a actualizar</v>
      </c>
      <c r="N240" s="733" t="s">
        <v>433</v>
      </c>
      <c r="O240" s="733" t="s">
        <v>359</v>
      </c>
      <c r="P240" s="719">
        <v>0.04</v>
      </c>
      <c r="Q240" s="719" t="s">
        <v>90</v>
      </c>
      <c r="R240" s="719">
        <v>1</v>
      </c>
      <c r="S240" s="719">
        <v>1</v>
      </c>
      <c r="T240" s="808" t="s">
        <v>151</v>
      </c>
      <c r="U240" s="253" t="s">
        <v>434</v>
      </c>
      <c r="V240" s="250"/>
      <c r="W240" s="250"/>
      <c r="X240" s="250"/>
      <c r="Y240" s="250"/>
      <c r="Z240" s="130"/>
      <c r="AA240" s="130"/>
      <c r="AB240" s="130"/>
      <c r="AC240" s="130"/>
      <c r="AD240" s="1050"/>
      <c r="AE240" s="1050"/>
      <c r="AF240" s="1050"/>
      <c r="AG240" s="1047"/>
      <c r="AH240" s="1043" t="s">
        <v>387</v>
      </c>
      <c r="AI240" s="1043" t="s">
        <v>388</v>
      </c>
      <c r="AJ240" s="1043" t="s">
        <v>94</v>
      </c>
      <c r="AK240" s="1043"/>
      <c r="AL240" s="1043"/>
      <c r="AM240" s="1043"/>
      <c r="AN240" s="1043" t="s">
        <v>94</v>
      </c>
      <c r="AO240" s="1043"/>
      <c r="AP240" s="1043"/>
      <c r="AQ240" s="1043" t="s">
        <v>94</v>
      </c>
      <c r="AR240" s="1043"/>
      <c r="AS240" s="1043"/>
      <c r="AT240" s="190" t="s">
        <v>129</v>
      </c>
      <c r="AU240" s="203">
        <f t="shared" ref="AU240:BB240" si="199">+V242*$J$240</f>
        <v>0</v>
      </c>
      <c r="AV240" s="203">
        <f t="shared" si="199"/>
        <v>0</v>
      </c>
      <c r="AW240" s="203">
        <f t="shared" si="199"/>
        <v>0</v>
      </c>
      <c r="AX240" s="131">
        <f t="shared" si="199"/>
        <v>0</v>
      </c>
      <c r="AY240" s="203">
        <f t="shared" si="199"/>
        <v>0</v>
      </c>
      <c r="AZ240" s="203">
        <f t="shared" si="199"/>
        <v>0</v>
      </c>
      <c r="BA240" s="203">
        <f t="shared" si="199"/>
        <v>0</v>
      </c>
      <c r="BB240" s="131">
        <f t="shared" si="199"/>
        <v>0</v>
      </c>
      <c r="BC240" s="578">
        <f>+BB242</f>
        <v>0</v>
      </c>
      <c r="BD240" s="582"/>
      <c r="BE240" s="246"/>
      <c r="BF240" s="246"/>
    </row>
    <row r="241" spans="1:61" s="168" customFormat="1" ht="30" customHeight="1" thickBot="1" x14ac:dyDescent="0.3">
      <c r="A241" s="256"/>
      <c r="B241" s="800"/>
      <c r="C241" s="665"/>
      <c r="D241" s="1066"/>
      <c r="E241" s="743"/>
      <c r="F241" s="825"/>
      <c r="G241" s="719"/>
      <c r="H241" s="719"/>
      <c r="I241" s="733"/>
      <c r="J241" s="719"/>
      <c r="K241" s="733"/>
      <c r="L241" s="733"/>
      <c r="M241" s="733"/>
      <c r="N241" s="733"/>
      <c r="O241" s="733"/>
      <c r="P241" s="719"/>
      <c r="Q241" s="719"/>
      <c r="R241" s="719"/>
      <c r="S241" s="719"/>
      <c r="T241" s="808"/>
      <c r="U241" s="247" t="s">
        <v>435</v>
      </c>
      <c r="V241" s="220">
        <v>1</v>
      </c>
      <c r="W241" s="170">
        <v>1</v>
      </c>
      <c r="X241" s="170">
        <v>1</v>
      </c>
      <c r="Y241" s="220">
        <f>+V241+W241+X241</f>
        <v>3</v>
      </c>
      <c r="Z241" s="220">
        <f>+V241</f>
        <v>1</v>
      </c>
      <c r="AA241" s="220">
        <f>+V241+W241</f>
        <v>2</v>
      </c>
      <c r="AB241" s="220">
        <f>+V241+W241+X241</f>
        <v>3</v>
      </c>
      <c r="AC241" s="220">
        <f>+Y241</f>
        <v>3</v>
      </c>
      <c r="AD241" s="1050"/>
      <c r="AE241" s="1050"/>
      <c r="AF241" s="1050"/>
      <c r="AG241" s="1047"/>
      <c r="AH241" s="1044"/>
      <c r="AI241" s="1044"/>
      <c r="AJ241" s="1044"/>
      <c r="AK241" s="1044"/>
      <c r="AL241" s="1044"/>
      <c r="AM241" s="1044"/>
      <c r="AN241" s="1044"/>
      <c r="AO241" s="1044"/>
      <c r="AP241" s="1044"/>
      <c r="AQ241" s="1044"/>
      <c r="AR241" s="1044"/>
      <c r="AS241" s="1044"/>
      <c r="AT241" s="190" t="s">
        <v>131</v>
      </c>
      <c r="AU241" s="203">
        <f>+AU240*$H$240</f>
        <v>0</v>
      </c>
      <c r="AV241" s="203">
        <f t="shared" ref="AV241:BB241" si="200">+AV240*$H$240</f>
        <v>0</v>
      </c>
      <c r="AW241" s="203">
        <f t="shared" si="200"/>
        <v>0</v>
      </c>
      <c r="AX241" s="203">
        <f t="shared" si="200"/>
        <v>0</v>
      </c>
      <c r="AY241" s="203">
        <f t="shared" si="200"/>
        <v>0</v>
      </c>
      <c r="AZ241" s="203">
        <f t="shared" si="200"/>
        <v>0</v>
      </c>
      <c r="BA241" s="203">
        <f t="shared" si="200"/>
        <v>0</v>
      </c>
      <c r="BB241" s="203">
        <f t="shared" si="200"/>
        <v>0</v>
      </c>
      <c r="BC241" s="579"/>
      <c r="BD241" s="582"/>
      <c r="BE241" s="246"/>
      <c r="BF241" s="246"/>
    </row>
    <row r="242" spans="1:61" s="168" customFormat="1" ht="24.95" customHeight="1" thickBot="1" x14ac:dyDescent="0.3">
      <c r="A242" s="256"/>
      <c r="B242" s="800"/>
      <c r="C242" s="665"/>
      <c r="D242" s="1066"/>
      <c r="E242" s="743"/>
      <c r="F242" s="825"/>
      <c r="G242" s="719"/>
      <c r="H242" s="719"/>
      <c r="I242" s="733"/>
      <c r="J242" s="719"/>
      <c r="K242" s="733"/>
      <c r="L242" s="733"/>
      <c r="M242" s="733"/>
      <c r="N242" s="733"/>
      <c r="O242" s="733"/>
      <c r="P242" s="719"/>
      <c r="Q242" s="719"/>
      <c r="R242" s="719"/>
      <c r="S242" s="719"/>
      <c r="T242" s="808"/>
      <c r="U242" s="249" t="s">
        <v>96</v>
      </c>
      <c r="V242" s="255">
        <f t="shared" ref="V242:AC242" si="201">IF((V240/V241)&lt;$I$8,(V240/V241),IF((V240/V241)&lt;$J$8,(V240/V241),IF((V240/V241)&lt;$J$9,(V240/V241),IF((V240/V241)&gt;=$J$9,$J$9))))</f>
        <v>0</v>
      </c>
      <c r="W242" s="258">
        <f t="shared" si="201"/>
        <v>0</v>
      </c>
      <c r="X242" s="258">
        <f t="shared" si="201"/>
        <v>0</v>
      </c>
      <c r="Y242" s="131">
        <f t="shared" si="201"/>
        <v>0</v>
      </c>
      <c r="Z242" s="255">
        <f t="shared" si="201"/>
        <v>0</v>
      </c>
      <c r="AA242" s="123">
        <f t="shared" si="201"/>
        <v>0</v>
      </c>
      <c r="AB242" s="123">
        <f t="shared" si="201"/>
        <v>0</v>
      </c>
      <c r="AC242" s="131">
        <f t="shared" si="201"/>
        <v>0</v>
      </c>
      <c r="AD242" s="1050"/>
      <c r="AE242" s="1050"/>
      <c r="AF242" s="1050"/>
      <c r="AG242" s="1047"/>
      <c r="AH242" s="1045"/>
      <c r="AI242" s="1045"/>
      <c r="AJ242" s="1045"/>
      <c r="AK242" s="1045"/>
      <c r="AL242" s="1045"/>
      <c r="AM242" s="1045"/>
      <c r="AN242" s="1045"/>
      <c r="AO242" s="1045"/>
      <c r="AP242" s="1045"/>
      <c r="AQ242" s="1045"/>
      <c r="AR242" s="1045"/>
      <c r="AS242" s="1045"/>
      <c r="AT242" s="190" t="s">
        <v>132</v>
      </c>
      <c r="AU242" s="203">
        <f>+AU241*$F$240</f>
        <v>0</v>
      </c>
      <c r="AV242" s="203">
        <f t="shared" ref="AV242:BB242" si="202">+AV241*$F$240</f>
        <v>0</v>
      </c>
      <c r="AW242" s="203">
        <f t="shared" si="202"/>
        <v>0</v>
      </c>
      <c r="AX242" s="203">
        <f t="shared" si="202"/>
        <v>0</v>
      </c>
      <c r="AY242" s="203">
        <f t="shared" si="202"/>
        <v>0</v>
      </c>
      <c r="AZ242" s="203">
        <f t="shared" si="202"/>
        <v>0</v>
      </c>
      <c r="BA242" s="203">
        <f t="shared" si="202"/>
        <v>0</v>
      </c>
      <c r="BB242" s="127">
        <f t="shared" si="202"/>
        <v>0</v>
      </c>
      <c r="BC242" s="580"/>
      <c r="BD242" s="582"/>
      <c r="BE242" s="246"/>
      <c r="BF242" s="246"/>
    </row>
    <row r="243" spans="1:61" s="168" customFormat="1" ht="80.099999999999994" customHeight="1" x14ac:dyDescent="0.25">
      <c r="A243" s="256"/>
      <c r="B243" s="664"/>
      <c r="C243" s="665">
        <v>13</v>
      </c>
      <c r="D243" s="1066"/>
      <c r="E243" s="1062" t="s">
        <v>192</v>
      </c>
      <c r="F243" s="1063">
        <v>0.03</v>
      </c>
      <c r="G243" s="733" t="s">
        <v>436</v>
      </c>
      <c r="H243" s="719">
        <v>1</v>
      </c>
      <c r="I243" s="925" t="s">
        <v>437</v>
      </c>
      <c r="J243" s="1055">
        <v>0.25</v>
      </c>
      <c r="K243" s="1055" t="s">
        <v>438</v>
      </c>
      <c r="L243" s="678" t="s">
        <v>439</v>
      </c>
      <c r="M243" s="678" t="str">
        <f t="shared" ref="M243" si="203">CONCATENATE(U243,"/",U244)</f>
        <v>Solicitudes atendidas oportunamente durante el periodo (Trámites compartidos)/Solicitudes que recibidas en el periodo (Trámites compartidos)</v>
      </c>
      <c r="N243" s="733" t="s">
        <v>399</v>
      </c>
      <c r="O243" s="678" t="s">
        <v>89</v>
      </c>
      <c r="P243" s="1061">
        <v>0.02</v>
      </c>
      <c r="Q243" s="657" t="s">
        <v>440</v>
      </c>
      <c r="R243" s="1060">
        <v>1</v>
      </c>
      <c r="S243" s="1060">
        <v>0.9</v>
      </c>
      <c r="T243" s="674" t="s">
        <v>151</v>
      </c>
      <c r="U243" s="253" t="s">
        <v>441</v>
      </c>
      <c r="V243" s="259"/>
      <c r="W243" s="250"/>
      <c r="X243" s="250"/>
      <c r="Y243" s="250"/>
      <c r="Z243" s="114"/>
      <c r="AA243" s="114"/>
      <c r="AB243" s="114"/>
      <c r="AC243" s="114"/>
      <c r="AD243" s="1050"/>
      <c r="AE243" s="1050"/>
      <c r="AF243" s="1050"/>
      <c r="AG243" s="1047"/>
      <c r="AH243" s="1043" t="s">
        <v>387</v>
      </c>
      <c r="AI243" s="1043" t="s">
        <v>388</v>
      </c>
      <c r="AJ243" s="1043" t="s">
        <v>94</v>
      </c>
      <c r="AK243" s="1043"/>
      <c r="AL243" s="1043"/>
      <c r="AM243" s="1043"/>
      <c r="AN243" s="1043" t="s">
        <v>94</v>
      </c>
      <c r="AO243" s="1043"/>
      <c r="AP243" s="1043"/>
      <c r="AQ243" s="1043" t="s">
        <v>94</v>
      </c>
      <c r="AR243" s="1043"/>
      <c r="AS243" s="1043"/>
      <c r="AT243" s="190" t="s">
        <v>129</v>
      </c>
      <c r="AU243" s="203">
        <f t="shared" ref="AU243:BB243" si="204">+V245*$J$243</f>
        <v>0</v>
      </c>
      <c r="AV243" s="203">
        <f t="shared" si="204"/>
        <v>0</v>
      </c>
      <c r="AW243" s="203">
        <f t="shared" si="204"/>
        <v>0</v>
      </c>
      <c r="AX243" s="203">
        <f t="shared" si="204"/>
        <v>0</v>
      </c>
      <c r="AY243" s="203">
        <f t="shared" si="204"/>
        <v>0</v>
      </c>
      <c r="AZ243" s="203">
        <f t="shared" si="204"/>
        <v>0</v>
      </c>
      <c r="BA243" s="203">
        <f t="shared" si="204"/>
        <v>0</v>
      </c>
      <c r="BB243" s="203">
        <f t="shared" si="204"/>
        <v>0</v>
      </c>
      <c r="BC243" s="596">
        <f>+BB245</f>
        <v>0</v>
      </c>
      <c r="BD243" s="582"/>
      <c r="BE243" s="246"/>
      <c r="BF243" s="246"/>
    </row>
    <row r="244" spans="1:61" s="168" customFormat="1" ht="80.099999999999994" customHeight="1" thickBot="1" x14ac:dyDescent="0.3">
      <c r="A244" s="256"/>
      <c r="B244" s="664"/>
      <c r="C244" s="665"/>
      <c r="D244" s="1066"/>
      <c r="E244" s="1062"/>
      <c r="F244" s="1063"/>
      <c r="G244" s="733"/>
      <c r="H244" s="719"/>
      <c r="I244" s="925"/>
      <c r="J244" s="1055"/>
      <c r="K244" s="1055"/>
      <c r="L244" s="678"/>
      <c r="M244" s="678"/>
      <c r="N244" s="733"/>
      <c r="O244" s="678"/>
      <c r="P244" s="1061"/>
      <c r="Q244" s="657"/>
      <c r="R244" s="1060"/>
      <c r="S244" s="1060"/>
      <c r="T244" s="674"/>
      <c r="U244" s="247" t="s">
        <v>442</v>
      </c>
      <c r="V244" s="219">
        <v>0.01</v>
      </c>
      <c r="W244" s="219">
        <v>13</v>
      </c>
      <c r="X244" s="219">
        <v>0.01</v>
      </c>
      <c r="Y244" s="219">
        <v>0.01</v>
      </c>
      <c r="Z244" s="219">
        <v>0.01</v>
      </c>
      <c r="AA244" s="219">
        <f>+W244</f>
        <v>13</v>
      </c>
      <c r="AB244" s="219">
        <v>0.01</v>
      </c>
      <c r="AC244" s="219">
        <v>0.01</v>
      </c>
      <c r="AD244" s="1050"/>
      <c r="AE244" s="1050"/>
      <c r="AF244" s="1050"/>
      <c r="AG244" s="1047"/>
      <c r="AH244" s="1044"/>
      <c r="AI244" s="1044"/>
      <c r="AJ244" s="1044"/>
      <c r="AK244" s="1044"/>
      <c r="AL244" s="1044"/>
      <c r="AM244" s="1044"/>
      <c r="AN244" s="1044"/>
      <c r="AO244" s="1044"/>
      <c r="AP244" s="1044"/>
      <c r="AQ244" s="1044"/>
      <c r="AR244" s="1044"/>
      <c r="AS244" s="1044"/>
      <c r="AT244" s="190" t="s">
        <v>131</v>
      </c>
      <c r="AU244" s="203">
        <f>+(AU243+AU246+AU249)*$H$243</f>
        <v>0</v>
      </c>
      <c r="AV244" s="203">
        <f t="shared" ref="AV244:BB244" si="205">+(AV243+AV246+AV249)*$H$243</f>
        <v>0</v>
      </c>
      <c r="AW244" s="203">
        <f t="shared" si="205"/>
        <v>0</v>
      </c>
      <c r="AX244" s="203">
        <f t="shared" si="205"/>
        <v>0</v>
      </c>
      <c r="AY244" s="203">
        <f t="shared" si="205"/>
        <v>0</v>
      </c>
      <c r="AZ244" s="203">
        <f t="shared" si="205"/>
        <v>0</v>
      </c>
      <c r="BA244" s="203">
        <f t="shared" si="205"/>
        <v>0</v>
      </c>
      <c r="BB244" s="203">
        <f t="shared" si="205"/>
        <v>0</v>
      </c>
      <c r="BC244" s="597"/>
      <c r="BD244" s="582"/>
      <c r="BE244" s="246"/>
      <c r="BF244" s="246"/>
    </row>
    <row r="245" spans="1:61" s="168" customFormat="1" ht="24.95" customHeight="1" thickBot="1" x14ac:dyDescent="0.3">
      <c r="A245" s="256"/>
      <c r="B245" s="664"/>
      <c r="C245" s="665"/>
      <c r="D245" s="1066"/>
      <c r="E245" s="1062"/>
      <c r="F245" s="1063"/>
      <c r="G245" s="733"/>
      <c r="H245" s="719"/>
      <c r="I245" s="925"/>
      <c r="J245" s="1055"/>
      <c r="K245" s="1055"/>
      <c r="L245" s="678"/>
      <c r="M245" s="678"/>
      <c r="N245" s="733"/>
      <c r="O245" s="678"/>
      <c r="P245" s="1061"/>
      <c r="Q245" s="657"/>
      <c r="R245" s="1060"/>
      <c r="S245" s="1060"/>
      <c r="T245" s="674"/>
      <c r="U245" s="260" t="s">
        <v>96</v>
      </c>
      <c r="V245" s="195">
        <f t="shared" ref="V245:Y245" si="206">IF((V243/V244)&lt;$I$8,(V243/V244),IF((V243/V244)&lt;$J$8,(V243/V244),IF((V243/V244)&lt;$J$9,(V243/V244),IF((V243/V244)&gt;=$J$9,$J$9))))</f>
        <v>0</v>
      </c>
      <c r="W245" s="195">
        <f t="shared" si="206"/>
        <v>0</v>
      </c>
      <c r="X245" s="195">
        <f t="shared" si="206"/>
        <v>0</v>
      </c>
      <c r="Y245" s="195">
        <f t="shared" si="206"/>
        <v>0</v>
      </c>
      <c r="Z245" s="195">
        <f>IF((Z243/Z244)&lt;$I$8,(Z243/Z244),IF((Z243/Z244)&lt;$J$8,(Z243/Z244),IF((Z243/Z244)&lt;$J$9,(Z243/Z244),IF((Z243/Z244)&gt;=$J$9,$J$9))))</f>
        <v>0</v>
      </c>
      <c r="AA245" s="195">
        <f>IF((AA243/AA244)&lt;$I$8,(AA243/AA244),IF((AA243/AA244)&lt;$J$8,(AA243/AA244),IF((AA243/AA244)&lt;$J$9,(AA243/AA244),IF((AA243/AA244)&gt;=$J$9,$J$9))))</f>
        <v>0</v>
      </c>
      <c r="AB245" s="195">
        <f>IF((AB243/AB244)&lt;$I$8,(AB243/AB244),IF((AB243/AB244)&lt;$J$8,(AB243/AB244),IF((AB243/AB244)&lt;$J$9,(AB243/AB244),IF((AB243/AB244)&gt;=$J$9,$J$9))))</f>
        <v>0</v>
      </c>
      <c r="AC245" s="195">
        <f>IF((AC243/AC244)&lt;$I$8,(AC243/AC244),IF((AC243/AC244)&lt;$J$8,(AC243/AC244),IF((AC243/AC244)&lt;$J$9,(AC243/AC244),IF((AC243/AC244)&gt;=$J$9,$J$9))))</f>
        <v>0</v>
      </c>
      <c r="AD245" s="1050"/>
      <c r="AE245" s="1050"/>
      <c r="AF245" s="1050"/>
      <c r="AG245" s="1047"/>
      <c r="AH245" s="1045"/>
      <c r="AI245" s="1045"/>
      <c r="AJ245" s="1045"/>
      <c r="AK245" s="1045"/>
      <c r="AL245" s="1045"/>
      <c r="AM245" s="1045"/>
      <c r="AN245" s="1045"/>
      <c r="AO245" s="1045"/>
      <c r="AP245" s="1045"/>
      <c r="AQ245" s="1045"/>
      <c r="AR245" s="1045"/>
      <c r="AS245" s="1045"/>
      <c r="AT245" s="190" t="s">
        <v>132</v>
      </c>
      <c r="AU245" s="203">
        <f>+(AU244+AU247+AU250)*$F$243</f>
        <v>0</v>
      </c>
      <c r="AV245" s="203">
        <f t="shared" ref="AV245:BB245" si="207">+(AV244+AV247+AV250)*$F$243</f>
        <v>0</v>
      </c>
      <c r="AW245" s="203">
        <f t="shared" si="207"/>
        <v>0</v>
      </c>
      <c r="AX245" s="203">
        <f t="shared" si="207"/>
        <v>0</v>
      </c>
      <c r="AY245" s="203">
        <f t="shared" si="207"/>
        <v>0</v>
      </c>
      <c r="AZ245" s="203">
        <f t="shared" si="207"/>
        <v>0</v>
      </c>
      <c r="BA245" s="203">
        <f t="shared" si="207"/>
        <v>0</v>
      </c>
      <c r="BB245" s="127">
        <f t="shared" si="207"/>
        <v>0</v>
      </c>
      <c r="BC245" s="597"/>
      <c r="BD245" s="582"/>
      <c r="BE245" s="246"/>
      <c r="BF245" s="246"/>
    </row>
    <row r="246" spans="1:61" s="168" customFormat="1" ht="189.95" customHeight="1" x14ac:dyDescent="0.25">
      <c r="A246" s="256"/>
      <c r="B246" s="664"/>
      <c r="C246" s="665">
        <v>14</v>
      </c>
      <c r="D246" s="1066"/>
      <c r="E246" s="1062"/>
      <c r="F246" s="1063"/>
      <c r="G246" s="733"/>
      <c r="H246" s="719"/>
      <c r="I246" s="925" t="s">
        <v>443</v>
      </c>
      <c r="J246" s="927">
        <v>0.25</v>
      </c>
      <c r="K246" s="925" t="s">
        <v>444</v>
      </c>
      <c r="L246" s="1059" t="s">
        <v>445</v>
      </c>
      <c r="M246" s="785" t="str">
        <f t="shared" ref="M246" si="208">CONCATENATE(U246,"/",U247)</f>
        <v>Solicitudes atendidas oportunamente durante el periodo/Solicitudes que recibidas en el periodo</v>
      </c>
      <c r="N246" s="785" t="s">
        <v>277</v>
      </c>
      <c r="O246" s="785" t="s">
        <v>89</v>
      </c>
      <c r="P246" s="1056">
        <v>0.02</v>
      </c>
      <c r="Q246" s="1052">
        <v>1</v>
      </c>
      <c r="R246" s="1052">
        <v>1</v>
      </c>
      <c r="S246" s="1052">
        <v>0.5</v>
      </c>
      <c r="T246" s="764" t="s">
        <v>151</v>
      </c>
      <c r="U246" s="261" t="s">
        <v>446</v>
      </c>
      <c r="V246" s="259"/>
      <c r="W246" s="250"/>
      <c r="X246" s="250"/>
      <c r="Y246" s="250"/>
      <c r="Z246" s="114"/>
      <c r="AA246" s="114"/>
      <c r="AB246" s="114"/>
      <c r="AC246" s="114"/>
      <c r="AD246" s="1050"/>
      <c r="AE246" s="1050"/>
      <c r="AF246" s="1050"/>
      <c r="AG246" s="1047"/>
      <c r="AH246" s="1043" t="s">
        <v>447</v>
      </c>
      <c r="AI246" s="1043" t="s">
        <v>447</v>
      </c>
      <c r="AJ246" s="1043" t="s">
        <v>94</v>
      </c>
      <c r="AK246" s="1043"/>
      <c r="AL246" s="1043"/>
      <c r="AM246" s="1043"/>
      <c r="AN246" s="1043" t="s">
        <v>94</v>
      </c>
      <c r="AO246" s="1043"/>
      <c r="AP246" s="1043"/>
      <c r="AQ246" s="1043" t="s">
        <v>94</v>
      </c>
      <c r="AR246" s="1043"/>
      <c r="AS246" s="1043"/>
      <c r="AT246" s="190" t="s">
        <v>129</v>
      </c>
      <c r="AU246" s="197">
        <f t="shared" ref="AU246:BB246" si="209">+V248*$J$246</f>
        <v>0</v>
      </c>
      <c r="AV246" s="203">
        <f t="shared" si="209"/>
        <v>0</v>
      </c>
      <c r="AW246" s="203">
        <f t="shared" si="209"/>
        <v>0</v>
      </c>
      <c r="AX246" s="203">
        <f t="shared" si="209"/>
        <v>0</v>
      </c>
      <c r="AY246" s="197">
        <f t="shared" si="209"/>
        <v>0</v>
      </c>
      <c r="AZ246" s="203">
        <f t="shared" si="209"/>
        <v>0</v>
      </c>
      <c r="BA246" s="203">
        <f t="shared" si="209"/>
        <v>0</v>
      </c>
      <c r="BB246" s="203">
        <f t="shared" si="209"/>
        <v>0</v>
      </c>
      <c r="BC246" s="597"/>
      <c r="BD246" s="582"/>
      <c r="BE246" s="246"/>
      <c r="BF246" s="246"/>
    </row>
    <row r="247" spans="1:61" s="168" customFormat="1" ht="189.95" customHeight="1" x14ac:dyDescent="0.25">
      <c r="A247" s="262"/>
      <c r="B247" s="664"/>
      <c r="C247" s="665"/>
      <c r="D247" s="1066"/>
      <c r="E247" s="1062"/>
      <c r="F247" s="1063"/>
      <c r="G247" s="733"/>
      <c r="H247" s="719"/>
      <c r="I247" s="925"/>
      <c r="J247" s="928"/>
      <c r="K247" s="925"/>
      <c r="L247" s="1059"/>
      <c r="M247" s="786"/>
      <c r="N247" s="786"/>
      <c r="O247" s="786"/>
      <c r="P247" s="1057"/>
      <c r="Q247" s="1053"/>
      <c r="R247" s="1053"/>
      <c r="S247" s="1053"/>
      <c r="T247" s="765"/>
      <c r="U247" s="169" t="s">
        <v>448</v>
      </c>
      <c r="V247" s="219">
        <v>0.01</v>
      </c>
      <c r="W247" s="219">
        <v>1</v>
      </c>
      <c r="X247" s="219">
        <v>0.01</v>
      </c>
      <c r="Y247" s="219">
        <v>0.01</v>
      </c>
      <c r="Z247" s="219">
        <f>+V247</f>
        <v>0.01</v>
      </c>
      <c r="AA247" s="219">
        <f>+V247+W247</f>
        <v>1.01</v>
      </c>
      <c r="AB247" s="219">
        <f>+V247+W247+X247</f>
        <v>1.02</v>
      </c>
      <c r="AC247" s="219">
        <f>+V247+W247+X247+Y247</f>
        <v>1.03</v>
      </c>
      <c r="AD247" s="1050"/>
      <c r="AE247" s="1050"/>
      <c r="AF247" s="1050"/>
      <c r="AG247" s="1047"/>
      <c r="AH247" s="1044"/>
      <c r="AI247" s="1044"/>
      <c r="AJ247" s="1044"/>
      <c r="AK247" s="1044"/>
      <c r="AL247" s="1044"/>
      <c r="AM247" s="1044"/>
      <c r="AN247" s="1044"/>
      <c r="AO247" s="1044"/>
      <c r="AP247" s="1044"/>
      <c r="AQ247" s="1044"/>
      <c r="AR247" s="1044"/>
      <c r="AS247" s="1044"/>
      <c r="AT247" s="190" t="s">
        <v>131</v>
      </c>
      <c r="AU247" s="203">
        <f>+AU246*$H$246</f>
        <v>0</v>
      </c>
      <c r="AV247" s="203">
        <f t="shared" ref="AV247:BB247" si="210">+AV246*$H$246</f>
        <v>0</v>
      </c>
      <c r="AW247" s="203">
        <f t="shared" si="210"/>
        <v>0</v>
      </c>
      <c r="AX247" s="203">
        <f t="shared" si="210"/>
        <v>0</v>
      </c>
      <c r="AY247" s="203">
        <f t="shared" si="210"/>
        <v>0</v>
      </c>
      <c r="AZ247" s="203">
        <f t="shared" si="210"/>
        <v>0</v>
      </c>
      <c r="BA247" s="203">
        <f t="shared" si="210"/>
        <v>0</v>
      </c>
      <c r="BB247" s="203">
        <f t="shared" si="210"/>
        <v>0</v>
      </c>
      <c r="BC247" s="597"/>
      <c r="BD247" s="582"/>
      <c r="BE247" s="246"/>
      <c r="BF247" s="246"/>
    </row>
    <row r="248" spans="1:61" s="168" customFormat="1" ht="24.95" customHeight="1" x14ac:dyDescent="0.25">
      <c r="A248" s="256"/>
      <c r="B248" s="664"/>
      <c r="C248" s="665"/>
      <c r="D248" s="1066"/>
      <c r="E248" s="1062"/>
      <c r="F248" s="1063"/>
      <c r="G248" s="733"/>
      <c r="H248" s="719"/>
      <c r="I248" s="925"/>
      <c r="J248" s="929"/>
      <c r="K248" s="925"/>
      <c r="L248" s="1059"/>
      <c r="M248" s="787"/>
      <c r="N248" s="787"/>
      <c r="O248" s="787"/>
      <c r="P248" s="1058"/>
      <c r="Q248" s="1054"/>
      <c r="R248" s="1054"/>
      <c r="S248" s="1054"/>
      <c r="T248" s="766"/>
      <c r="U248" s="170" t="s">
        <v>96</v>
      </c>
      <c r="V248" s="197">
        <f t="shared" ref="V248:Y248" si="211">IF((V246/V247)&lt;$I$8,(V246/V247),IF((V246/V247)&lt;$J$8,(V246/V247),IF((V246/V247)&lt;$J$9,(V246/V247),IF((V246/V247)&gt;=$J$9,$J$9))))</f>
        <v>0</v>
      </c>
      <c r="W248" s="195">
        <f t="shared" si="211"/>
        <v>0</v>
      </c>
      <c r="X248" s="195">
        <f t="shared" si="211"/>
        <v>0</v>
      </c>
      <c r="Y248" s="195">
        <f t="shared" si="211"/>
        <v>0</v>
      </c>
      <c r="Z248" s="197">
        <f>IF((Z246/Z247)&lt;$I$8,(Z246/Z247),IF((Z246/Z247)&lt;$J$8,(Z246/Z247),IF((Z246/Z247)&lt;$J$9,(Z246/Z247),IF((Z246/Z247)&gt;=$J$9,$J$9))))</f>
        <v>0</v>
      </c>
      <c r="AA248" s="195">
        <f>IF((AA246/AA247)&lt;$I$8,(AA246/AA247),IF((AA246/AA247)&lt;$J$8,(AA246/AA247),IF((AA246/AA247)&lt;$J$9,(AA246/AA247),IF((AA246/AA247)&gt;=$J$9,$J$9))))</f>
        <v>0</v>
      </c>
      <c r="AB248" s="195">
        <f>IF((AB246/AB247)&lt;$I$8,(AB246/AB247),IF((AB246/AB247)&lt;$J$8,(AB246/AB247),IF((AB246/AB247)&lt;$J$9,(AB246/AB247),IF((AB246/AB247)&gt;=$J$9,$J$9))))</f>
        <v>0</v>
      </c>
      <c r="AC248" s="195">
        <f>IF((AC246/AC247)&lt;$I$8,(AC246/AC247),IF((AC246/AC247)&lt;$J$8,(AC246/AC247),IF((AC246/AC247)&lt;$J$9,(AC246/AC247),IF((AC246/AC247)&gt;=$J$9,$J$9))))</f>
        <v>0</v>
      </c>
      <c r="AD248" s="1050"/>
      <c r="AE248" s="1050"/>
      <c r="AF248" s="1050"/>
      <c r="AG248" s="1047"/>
      <c r="AH248" s="1045"/>
      <c r="AI248" s="1045"/>
      <c r="AJ248" s="1045"/>
      <c r="AK248" s="1045"/>
      <c r="AL248" s="1045"/>
      <c r="AM248" s="1045"/>
      <c r="AN248" s="1045"/>
      <c r="AO248" s="1045"/>
      <c r="AP248" s="1045"/>
      <c r="AQ248" s="1045"/>
      <c r="AR248" s="1045"/>
      <c r="AS248" s="1045"/>
      <c r="AT248" s="190" t="s">
        <v>132</v>
      </c>
      <c r="AU248" s="575"/>
      <c r="AV248" s="576"/>
      <c r="AW248" s="576"/>
      <c r="AX248" s="576"/>
      <c r="AY248" s="576"/>
      <c r="AZ248" s="576"/>
      <c r="BA248" s="576"/>
      <c r="BB248" s="577"/>
      <c r="BC248" s="597"/>
      <c r="BD248" s="582"/>
      <c r="BE248" s="246"/>
      <c r="BF248" s="246"/>
    </row>
    <row r="249" spans="1:61" s="168" customFormat="1" ht="54.95" customHeight="1" x14ac:dyDescent="0.25">
      <c r="A249" s="668" t="s">
        <v>230</v>
      </c>
      <c r="B249" s="664"/>
      <c r="C249" s="665">
        <v>15</v>
      </c>
      <c r="D249" s="1066"/>
      <c r="E249" s="1062"/>
      <c r="F249" s="1063"/>
      <c r="G249" s="733"/>
      <c r="H249" s="719"/>
      <c r="I249" s="925" t="s">
        <v>449</v>
      </c>
      <c r="J249" s="927">
        <v>0.5</v>
      </c>
      <c r="K249" s="1055" t="s">
        <v>450</v>
      </c>
      <c r="L249" s="678" t="s">
        <v>451</v>
      </c>
      <c r="M249" s="785" t="str">
        <f t="shared" ref="M249" si="212">CONCATENATE(U249,"/",U250)</f>
        <v>No de solicitudes gestionadas en el periodo/No de solicitudes programadas en el periodo</v>
      </c>
      <c r="N249" s="785" t="s">
        <v>277</v>
      </c>
      <c r="O249" s="785" t="s">
        <v>89</v>
      </c>
      <c r="P249" s="1056">
        <v>0.08</v>
      </c>
      <c r="Q249" s="1052">
        <v>1</v>
      </c>
      <c r="R249" s="1052">
        <v>1</v>
      </c>
      <c r="S249" s="1052">
        <v>1</v>
      </c>
      <c r="T249" s="764" t="s">
        <v>151</v>
      </c>
      <c r="U249" s="261" t="s">
        <v>428</v>
      </c>
      <c r="V249" s="250"/>
      <c r="W249" s="250"/>
      <c r="X249" s="250"/>
      <c r="Y249" s="250"/>
      <c r="Z249" s="114"/>
      <c r="AA249" s="114"/>
      <c r="AB249" s="114"/>
      <c r="AC249" s="114"/>
      <c r="AD249" s="1050"/>
      <c r="AE249" s="1050"/>
      <c r="AF249" s="1050"/>
      <c r="AG249" s="1047"/>
      <c r="AH249" s="1043" t="s">
        <v>447</v>
      </c>
      <c r="AI249" s="1043" t="s">
        <v>447</v>
      </c>
      <c r="AJ249" s="1043" t="s">
        <v>94</v>
      </c>
      <c r="AK249" s="1043"/>
      <c r="AL249" s="1043"/>
      <c r="AM249" s="1043"/>
      <c r="AN249" s="1043" t="s">
        <v>94</v>
      </c>
      <c r="AO249" s="1043"/>
      <c r="AP249" s="1043"/>
      <c r="AQ249" s="1043" t="s">
        <v>94</v>
      </c>
      <c r="AR249" s="1043"/>
      <c r="AS249" s="1043"/>
      <c r="AT249" s="190" t="s">
        <v>129</v>
      </c>
      <c r="AU249" s="203">
        <f t="shared" ref="AU249:BB249" si="213">+V251*$J$249</f>
        <v>0</v>
      </c>
      <c r="AV249" s="203">
        <f t="shared" si="213"/>
        <v>0</v>
      </c>
      <c r="AW249" s="203">
        <f t="shared" si="213"/>
        <v>0</v>
      </c>
      <c r="AX249" s="203">
        <f t="shared" si="213"/>
        <v>0</v>
      </c>
      <c r="AY249" s="203">
        <f t="shared" si="213"/>
        <v>0</v>
      </c>
      <c r="AZ249" s="203">
        <f t="shared" si="213"/>
        <v>0</v>
      </c>
      <c r="BA249" s="203">
        <f t="shared" si="213"/>
        <v>0</v>
      </c>
      <c r="BB249" s="203">
        <f t="shared" si="213"/>
        <v>0</v>
      </c>
      <c r="BC249" s="597"/>
      <c r="BD249" s="582"/>
      <c r="BE249" s="246"/>
      <c r="BF249" s="246"/>
    </row>
    <row r="250" spans="1:61" s="168" customFormat="1" ht="54.95" customHeight="1" x14ac:dyDescent="0.25">
      <c r="A250" s="668"/>
      <c r="B250" s="664"/>
      <c r="C250" s="665"/>
      <c r="D250" s="1066"/>
      <c r="E250" s="1062"/>
      <c r="F250" s="1063"/>
      <c r="G250" s="733"/>
      <c r="H250" s="719"/>
      <c r="I250" s="925"/>
      <c r="J250" s="928"/>
      <c r="K250" s="1055"/>
      <c r="L250" s="678"/>
      <c r="M250" s="786"/>
      <c r="N250" s="786"/>
      <c r="O250" s="786"/>
      <c r="P250" s="1057"/>
      <c r="Q250" s="1053"/>
      <c r="R250" s="1053"/>
      <c r="S250" s="1053"/>
      <c r="T250" s="765"/>
      <c r="U250" s="169" t="s">
        <v>429</v>
      </c>
      <c r="V250" s="219">
        <f>(3050*0.58)/4</f>
        <v>442.24999999999994</v>
      </c>
      <c r="W250" s="219">
        <f t="shared" ref="W250" si="214">(3050*0.58)/4</f>
        <v>442.24999999999994</v>
      </c>
      <c r="X250" s="219">
        <v>441</v>
      </c>
      <c r="Y250" s="219">
        <v>434</v>
      </c>
      <c r="Z250" s="220">
        <f>+V250</f>
        <v>442.24999999999994</v>
      </c>
      <c r="AA250" s="220">
        <f>Z250+W250</f>
        <v>884.49999999999989</v>
      </c>
      <c r="AB250" s="220">
        <f>AA250+X250</f>
        <v>1325.5</v>
      </c>
      <c r="AC250" s="220">
        <f>AB250+Y250</f>
        <v>1759.5</v>
      </c>
      <c r="AD250" s="1050"/>
      <c r="AE250" s="1050"/>
      <c r="AF250" s="1050"/>
      <c r="AG250" s="1047"/>
      <c r="AH250" s="1044"/>
      <c r="AI250" s="1044"/>
      <c r="AJ250" s="1044"/>
      <c r="AK250" s="1044"/>
      <c r="AL250" s="1044"/>
      <c r="AM250" s="1044"/>
      <c r="AN250" s="1044"/>
      <c r="AO250" s="1044"/>
      <c r="AP250" s="1044"/>
      <c r="AQ250" s="1044"/>
      <c r="AR250" s="1044"/>
      <c r="AS250" s="1044"/>
      <c r="AT250" s="190" t="s">
        <v>131</v>
      </c>
      <c r="AU250" s="203">
        <f>+AU249*$H$249</f>
        <v>0</v>
      </c>
      <c r="AV250" s="203">
        <f t="shared" ref="AV250:BB250" si="215">+AV249*$H$249</f>
        <v>0</v>
      </c>
      <c r="AW250" s="203">
        <f t="shared" si="215"/>
        <v>0</v>
      </c>
      <c r="AX250" s="203">
        <f t="shared" si="215"/>
        <v>0</v>
      </c>
      <c r="AY250" s="203">
        <f t="shared" si="215"/>
        <v>0</v>
      </c>
      <c r="AZ250" s="203">
        <f t="shared" si="215"/>
        <v>0</v>
      </c>
      <c r="BA250" s="203">
        <f t="shared" si="215"/>
        <v>0</v>
      </c>
      <c r="BB250" s="203">
        <f t="shared" si="215"/>
        <v>0</v>
      </c>
      <c r="BC250" s="597"/>
      <c r="BD250" s="582"/>
      <c r="BE250" s="246"/>
      <c r="BF250" s="246"/>
    </row>
    <row r="251" spans="1:61" s="168" customFormat="1" ht="24.95" customHeight="1" x14ac:dyDescent="0.25">
      <c r="A251" s="668"/>
      <c r="B251" s="664"/>
      <c r="C251" s="665"/>
      <c r="D251" s="1066"/>
      <c r="E251" s="1062"/>
      <c r="F251" s="1063"/>
      <c r="G251" s="733"/>
      <c r="H251" s="719"/>
      <c r="I251" s="925"/>
      <c r="J251" s="929"/>
      <c r="K251" s="1055"/>
      <c r="L251" s="678"/>
      <c r="M251" s="787"/>
      <c r="N251" s="787"/>
      <c r="O251" s="787"/>
      <c r="P251" s="1058"/>
      <c r="Q251" s="1054"/>
      <c r="R251" s="1054"/>
      <c r="S251" s="1054"/>
      <c r="T251" s="766"/>
      <c r="U251" s="170" t="s">
        <v>96</v>
      </c>
      <c r="V251" s="221">
        <f>IF((V249/V250)&lt;$I$8,(V249/V250),IF((V249/V250)&lt;$J$8,(V249/V250),IF((V249/V250)&lt;$J$9,(V249/V250),IF((V249/V250)&gt;=$J$9,$J$9))))</f>
        <v>0</v>
      </c>
      <c r="W251" s="221">
        <f t="shared" ref="W251:AC251" si="216">IF((W249/W250)&lt;$I$8,(W249/W250),IF((W249/W250)&lt;$J$8,(W249/W250),IF((W249/W250)&lt;$J$9,(W249/W250),IF((W249/W250)&gt;=$J$9,$J$9))))</f>
        <v>0</v>
      </c>
      <c r="X251" s="221">
        <f t="shared" si="216"/>
        <v>0</v>
      </c>
      <c r="Y251" s="221">
        <f t="shared" si="216"/>
        <v>0</v>
      </c>
      <c r="Z251" s="221">
        <f t="shared" si="216"/>
        <v>0</v>
      </c>
      <c r="AA251" s="221">
        <f t="shared" si="216"/>
        <v>0</v>
      </c>
      <c r="AB251" s="221">
        <f t="shared" si="216"/>
        <v>0</v>
      </c>
      <c r="AC251" s="221">
        <f t="shared" si="216"/>
        <v>0</v>
      </c>
      <c r="AD251" s="1051"/>
      <c r="AE251" s="1051"/>
      <c r="AF251" s="1051"/>
      <c r="AG251" s="1048"/>
      <c r="AH251" s="1045"/>
      <c r="AI251" s="1045"/>
      <c r="AJ251" s="1045"/>
      <c r="AK251" s="1045"/>
      <c r="AL251" s="1045"/>
      <c r="AM251" s="1045"/>
      <c r="AN251" s="1045"/>
      <c r="AO251" s="1045"/>
      <c r="AP251" s="1045"/>
      <c r="AQ251" s="1045"/>
      <c r="AR251" s="1045"/>
      <c r="AS251" s="1045"/>
      <c r="AT251" s="190" t="s">
        <v>132</v>
      </c>
      <c r="AU251" s="575"/>
      <c r="AV251" s="576"/>
      <c r="AW251" s="576"/>
      <c r="AX251" s="576"/>
      <c r="AY251" s="576"/>
      <c r="AZ251" s="576"/>
      <c r="BA251" s="576"/>
      <c r="BB251" s="577"/>
      <c r="BC251" s="598"/>
      <c r="BD251" s="582"/>
      <c r="BE251" s="246"/>
      <c r="BF251" s="246"/>
    </row>
    <row r="252" spans="1:61" s="168" customFormat="1" ht="27.95" customHeight="1" x14ac:dyDescent="0.25">
      <c r="A252" s="256"/>
      <c r="B252" s="800"/>
      <c r="C252" s="665">
        <v>16</v>
      </c>
      <c r="D252" s="1066"/>
      <c r="E252" s="743" t="s">
        <v>452</v>
      </c>
      <c r="F252" s="825">
        <v>0.03</v>
      </c>
      <c r="G252" s="719" t="s">
        <v>453</v>
      </c>
      <c r="H252" s="719">
        <v>1</v>
      </c>
      <c r="I252" s="733" t="s">
        <v>454</v>
      </c>
      <c r="J252" s="719">
        <v>1</v>
      </c>
      <c r="K252" s="733" t="s">
        <v>455</v>
      </c>
      <c r="L252" s="733" t="s">
        <v>456</v>
      </c>
      <c r="M252" s="733" t="str">
        <f>CONCATENATE(U252,$U$32,U253)</f>
        <v>Número de actividades programadas y realizadas / Número de actividades programadas</v>
      </c>
      <c r="N252" s="733" t="s">
        <v>457</v>
      </c>
      <c r="O252" s="733" t="s">
        <v>359</v>
      </c>
      <c r="P252" s="719" t="s">
        <v>394</v>
      </c>
      <c r="Q252" s="719" t="s">
        <v>90</v>
      </c>
      <c r="R252" s="719">
        <v>1</v>
      </c>
      <c r="S252" s="719">
        <f>(37+30+10+20)/168</f>
        <v>0.57738095238095233</v>
      </c>
      <c r="T252" s="674" t="s">
        <v>151</v>
      </c>
      <c r="U252" s="253" t="s">
        <v>458</v>
      </c>
      <c r="V252" s="250"/>
      <c r="W252" s="250"/>
      <c r="X252" s="250"/>
      <c r="Y252" s="250"/>
      <c r="Z252" s="130"/>
      <c r="AA252" s="130"/>
      <c r="AB252" s="130"/>
      <c r="AC252" s="130"/>
      <c r="AD252" s="1049">
        <f>AG252</f>
        <v>23782548108</v>
      </c>
      <c r="AE252" s="1046"/>
      <c r="AF252" s="1046"/>
      <c r="AG252" s="1046">
        <v>23782548108</v>
      </c>
      <c r="AH252" s="1043" t="s">
        <v>459</v>
      </c>
      <c r="AI252" s="1043" t="s">
        <v>459</v>
      </c>
      <c r="AJ252" s="1043" t="s">
        <v>94</v>
      </c>
      <c r="AK252" s="1043"/>
      <c r="AL252" s="1043"/>
      <c r="AM252" s="1043"/>
      <c r="AN252" s="1043" t="s">
        <v>94</v>
      </c>
      <c r="AO252" s="1043"/>
      <c r="AP252" s="1043"/>
      <c r="AQ252" s="1043" t="s">
        <v>94</v>
      </c>
      <c r="AR252" s="1043"/>
      <c r="AS252" s="1043"/>
      <c r="AT252" s="190" t="s">
        <v>129</v>
      </c>
      <c r="AU252" s="203">
        <f t="shared" ref="AU252:BB252" si="217">+V254*$J$252</f>
        <v>0</v>
      </c>
      <c r="AV252" s="203">
        <f t="shared" si="217"/>
        <v>0</v>
      </c>
      <c r="AW252" s="203">
        <f t="shared" si="217"/>
        <v>0</v>
      </c>
      <c r="AX252" s="203">
        <f t="shared" si="217"/>
        <v>0</v>
      </c>
      <c r="AY252" s="203">
        <f t="shared" si="217"/>
        <v>0</v>
      </c>
      <c r="AZ252" s="203">
        <f t="shared" si="217"/>
        <v>0</v>
      </c>
      <c r="BA252" s="203">
        <f t="shared" si="217"/>
        <v>0</v>
      </c>
      <c r="BB252" s="203">
        <f t="shared" si="217"/>
        <v>0</v>
      </c>
      <c r="BC252" s="593">
        <f>+BB254</f>
        <v>0</v>
      </c>
      <c r="BD252" s="582"/>
      <c r="BE252" s="246"/>
      <c r="BF252" s="246"/>
    </row>
    <row r="253" spans="1:61" s="168" customFormat="1" ht="27.95" customHeight="1" thickBot="1" x14ac:dyDescent="0.3">
      <c r="A253" s="256"/>
      <c r="B253" s="800"/>
      <c r="C253" s="665"/>
      <c r="D253" s="1066"/>
      <c r="E253" s="743"/>
      <c r="F253" s="825"/>
      <c r="G253" s="719"/>
      <c r="H253" s="719"/>
      <c r="I253" s="733"/>
      <c r="J253" s="719"/>
      <c r="K253" s="733"/>
      <c r="L253" s="733"/>
      <c r="M253" s="733"/>
      <c r="N253" s="733"/>
      <c r="O253" s="733"/>
      <c r="P253" s="719"/>
      <c r="Q253" s="719"/>
      <c r="R253" s="719"/>
      <c r="S253" s="719"/>
      <c r="T253" s="674"/>
      <c r="U253" s="263" t="s">
        <v>460</v>
      </c>
      <c r="V253" s="251">
        <v>37</v>
      </c>
      <c r="W253" s="172">
        <v>30</v>
      </c>
      <c r="X253" s="172">
        <v>10</v>
      </c>
      <c r="Y253" s="172">
        <v>20</v>
      </c>
      <c r="Z253" s="251">
        <f>+V253</f>
        <v>37</v>
      </c>
      <c r="AA253" s="251">
        <f>+V253+W253</f>
        <v>67</v>
      </c>
      <c r="AB253" s="251">
        <f>+V253+W253+X253</f>
        <v>77</v>
      </c>
      <c r="AC253" s="251">
        <f>+V253+W253+X253+Y253</f>
        <v>97</v>
      </c>
      <c r="AD253" s="1050"/>
      <c r="AE253" s="1047"/>
      <c r="AF253" s="1047"/>
      <c r="AG253" s="1047"/>
      <c r="AH253" s="1044"/>
      <c r="AI253" s="1044"/>
      <c r="AJ253" s="1044"/>
      <c r="AK253" s="1044"/>
      <c r="AL253" s="1044"/>
      <c r="AM253" s="1044"/>
      <c r="AN253" s="1044"/>
      <c r="AO253" s="1044"/>
      <c r="AP253" s="1044"/>
      <c r="AQ253" s="1044"/>
      <c r="AR253" s="1044"/>
      <c r="AS253" s="1044"/>
      <c r="AT253" s="190" t="s">
        <v>131</v>
      </c>
      <c r="AU253" s="203">
        <f>+AU252*$H$252</f>
        <v>0</v>
      </c>
      <c r="AV253" s="203">
        <f t="shared" ref="AV253:BB253" si="218">+AV252*$H$252</f>
        <v>0</v>
      </c>
      <c r="AW253" s="203">
        <f t="shared" si="218"/>
        <v>0</v>
      </c>
      <c r="AX253" s="203">
        <f t="shared" si="218"/>
        <v>0</v>
      </c>
      <c r="AY253" s="203">
        <f t="shared" si="218"/>
        <v>0</v>
      </c>
      <c r="AZ253" s="203">
        <f t="shared" si="218"/>
        <v>0</v>
      </c>
      <c r="BA253" s="203">
        <f t="shared" si="218"/>
        <v>0</v>
      </c>
      <c r="BB253" s="203">
        <f t="shared" si="218"/>
        <v>0</v>
      </c>
      <c r="BC253" s="594"/>
      <c r="BD253" s="582"/>
      <c r="BE253" s="246"/>
      <c r="BF253" s="246"/>
    </row>
    <row r="254" spans="1:61" s="168" customFormat="1" ht="24.95" customHeight="1" thickBot="1" x14ac:dyDescent="0.3">
      <c r="A254" s="256"/>
      <c r="B254" s="800"/>
      <c r="C254" s="665"/>
      <c r="D254" s="1066"/>
      <c r="E254" s="743"/>
      <c r="F254" s="825"/>
      <c r="G254" s="719"/>
      <c r="H254" s="719"/>
      <c r="I254" s="733"/>
      <c r="J254" s="719"/>
      <c r="K254" s="733"/>
      <c r="L254" s="733"/>
      <c r="M254" s="733"/>
      <c r="N254" s="733"/>
      <c r="O254" s="733"/>
      <c r="P254" s="719"/>
      <c r="Q254" s="719"/>
      <c r="R254" s="719"/>
      <c r="S254" s="719"/>
      <c r="T254" s="674"/>
      <c r="U254" s="264" t="s">
        <v>96</v>
      </c>
      <c r="V254" s="195">
        <f t="shared" ref="V254:Y254" si="219">IF((V252/V253)&lt;$I$8,(V252/V253),IF((V252/V253)&lt;$J$8,(V252/V253),IF((V252/V253)&lt;$J$9,(V252/V253),IF((V252/V253)&gt;=$J$9,$J$9))))</f>
        <v>0</v>
      </c>
      <c r="W254" s="195">
        <f t="shared" si="219"/>
        <v>0</v>
      </c>
      <c r="X254" s="195">
        <f t="shared" si="219"/>
        <v>0</v>
      </c>
      <c r="Y254" s="195">
        <f t="shared" si="219"/>
        <v>0</v>
      </c>
      <c r="Z254" s="195">
        <f>IF((Z252/Z253)&lt;$I$8,(Z252/Z253),IF((Z252/Z253)&lt;$J$8,(Z252/Z253),IF((Z252/Z253)&lt;$J$9,(Z252/Z253),IF((Z252/Z253)&gt;=$J$9,$J$9))))</f>
        <v>0</v>
      </c>
      <c r="AA254" s="195">
        <f>IF((AA252/AA253)&lt;$I$8,(AA252/AA253),IF((AA252/AA253)&lt;$J$8,(AA252/AA253),IF((AA252/AA253)&lt;$J$9,(AA252/AA253),IF((AA252/AA253)&gt;=$J$9,$J$9))))</f>
        <v>0</v>
      </c>
      <c r="AB254" s="195">
        <f>IF((AB252/AB253)&lt;$I$8,(AB252/AB253),IF((AB252/AB253)&lt;$J$8,(AB252/AB253),IF((AB252/AB253)&lt;$J$9,(AB252/AB253),IF((AB252/AB253)&gt;=$J$9,$J$9))))</f>
        <v>0</v>
      </c>
      <c r="AC254" s="195">
        <f>IF((AC252/AC253)&lt;$I$8,(AC252/AC253),IF((AC252/AC253)&lt;$J$8,(AC252/AC253),IF((AC252/AC253)&lt;$J$9,(AC252/AC253),IF((AC252/AC253)&gt;=$J$9,$J$9))))</f>
        <v>0</v>
      </c>
      <c r="AD254" s="1051"/>
      <c r="AE254" s="1048"/>
      <c r="AF254" s="1048"/>
      <c r="AG254" s="1048"/>
      <c r="AH254" s="1045"/>
      <c r="AI254" s="1045"/>
      <c r="AJ254" s="1045"/>
      <c r="AK254" s="1045"/>
      <c r="AL254" s="1045"/>
      <c r="AM254" s="1045"/>
      <c r="AN254" s="1045"/>
      <c r="AO254" s="1045"/>
      <c r="AP254" s="1045"/>
      <c r="AQ254" s="1045"/>
      <c r="AR254" s="1045"/>
      <c r="AS254" s="1045"/>
      <c r="AT254" s="190" t="s">
        <v>132</v>
      </c>
      <c r="AU254" s="203">
        <f>+AU253*$F$252</f>
        <v>0</v>
      </c>
      <c r="AV254" s="203">
        <f t="shared" ref="AV254:BB254" si="220">+AV253*$F$252</f>
        <v>0</v>
      </c>
      <c r="AW254" s="203">
        <f t="shared" si="220"/>
        <v>0</v>
      </c>
      <c r="AX254" s="203">
        <f t="shared" si="220"/>
        <v>0</v>
      </c>
      <c r="AY254" s="265">
        <f t="shared" si="220"/>
        <v>0</v>
      </c>
      <c r="AZ254" s="203">
        <f t="shared" si="220"/>
        <v>0</v>
      </c>
      <c r="BA254" s="203">
        <f t="shared" si="220"/>
        <v>0</v>
      </c>
      <c r="BB254" s="127">
        <f t="shared" si="220"/>
        <v>0</v>
      </c>
      <c r="BC254" s="595"/>
      <c r="BD254" s="583"/>
      <c r="BE254" s="246"/>
      <c r="BF254" s="246"/>
    </row>
    <row r="255" spans="1:61" s="242" customFormat="1" ht="24.95" hidden="1" customHeight="1" thickBot="1" x14ac:dyDescent="0.3">
      <c r="A255" s="118"/>
      <c r="B255" s="266"/>
      <c r="C255" s="178">
        <f>+C252+C194</f>
        <v>46</v>
      </c>
      <c r="D255" s="144"/>
      <c r="E255" s="67"/>
      <c r="F255" s="233"/>
      <c r="G255" s="233"/>
      <c r="H255" s="233"/>
      <c r="I255" s="234"/>
      <c r="J255" s="233"/>
      <c r="K255" s="234"/>
      <c r="L255" s="234"/>
      <c r="M255" s="234"/>
      <c r="N255" s="234"/>
      <c r="O255" s="234"/>
      <c r="P255" s="233"/>
      <c r="Q255" s="233"/>
      <c r="R255" s="233"/>
      <c r="S255" s="233"/>
      <c r="T255" s="233"/>
      <c r="U255" s="233"/>
      <c r="V255" s="184"/>
      <c r="W255" s="184"/>
      <c r="X255" s="184"/>
      <c r="Y255" s="184"/>
      <c r="Z255" s="184"/>
      <c r="AA255" s="184"/>
      <c r="AB255" s="184"/>
      <c r="AC255" s="184"/>
      <c r="AD255" s="237"/>
      <c r="AE255" s="184"/>
      <c r="AF255" s="184"/>
      <c r="AG255" s="184"/>
      <c r="AH255" s="184"/>
      <c r="AI255" s="180"/>
      <c r="AJ255" s="145">
        <f>COUNTA(AJ207:AJ254)</f>
        <v>16</v>
      </c>
      <c r="AK255" s="145">
        <f t="shared" ref="AK255:AS255" si="221">COUNTA(AK207:AK254)</f>
        <v>0</v>
      </c>
      <c r="AL255" s="145">
        <f t="shared" si="221"/>
        <v>1</v>
      </c>
      <c r="AM255" s="145">
        <f t="shared" si="221"/>
        <v>0</v>
      </c>
      <c r="AN255" s="145">
        <f>COUNTA(AN207:AN254)</f>
        <v>15</v>
      </c>
      <c r="AO255" s="145">
        <f t="shared" si="221"/>
        <v>0</v>
      </c>
      <c r="AP255" s="145">
        <f t="shared" si="221"/>
        <v>1</v>
      </c>
      <c r="AQ255" s="145">
        <f t="shared" si="221"/>
        <v>15</v>
      </c>
      <c r="AR255" s="145">
        <f t="shared" si="221"/>
        <v>0</v>
      </c>
      <c r="AS255" s="145">
        <f t="shared" si="221"/>
        <v>1</v>
      </c>
      <c r="AT255" s="180"/>
      <c r="AU255" s="267">
        <f>+AU209+AU242+AU245+AU254</f>
        <v>0</v>
      </c>
      <c r="AV255" s="267">
        <f t="shared" ref="AV255:BB255" si="222">+AV209+AV242+AV245+AV254</f>
        <v>0</v>
      </c>
      <c r="AW255" s="267">
        <f t="shared" si="222"/>
        <v>0</v>
      </c>
      <c r="AX255" s="268">
        <f t="shared" si="222"/>
        <v>0</v>
      </c>
      <c r="AY255" s="205">
        <f t="shared" si="222"/>
        <v>0</v>
      </c>
      <c r="AZ255" s="269">
        <f t="shared" si="222"/>
        <v>0</v>
      </c>
      <c r="BA255" s="267">
        <f t="shared" si="222"/>
        <v>0</v>
      </c>
      <c r="BB255" s="267">
        <f t="shared" si="222"/>
        <v>0</v>
      </c>
      <c r="BC255" s="184"/>
      <c r="BD255" s="270"/>
      <c r="BE255" s="246"/>
      <c r="BF255" s="246"/>
      <c r="BG255" s="168"/>
      <c r="BH255" s="168"/>
      <c r="BI255" s="120"/>
    </row>
    <row r="256" spans="1:61" s="159" customFormat="1" ht="20.100000000000001" hidden="1" customHeight="1" x14ac:dyDescent="0.25">
      <c r="A256" s="271"/>
      <c r="B256" s="272"/>
      <c r="C256" s="107"/>
      <c r="D256" s="273"/>
      <c r="E256" s="273"/>
      <c r="F256" s="154"/>
      <c r="G256" s="154"/>
      <c r="H256" s="154"/>
      <c r="I256" s="155"/>
      <c r="J256" s="154"/>
      <c r="K256" s="155"/>
      <c r="L256" s="155"/>
      <c r="M256" s="155"/>
      <c r="N256" s="155"/>
      <c r="O256" s="155"/>
      <c r="P256" s="155"/>
      <c r="Q256" s="646" t="s">
        <v>154</v>
      </c>
      <c r="R256" s="646"/>
      <c r="S256" s="646"/>
      <c r="T256" s="646"/>
      <c r="U256" s="646"/>
      <c r="V256" s="156">
        <v>13</v>
      </c>
      <c r="W256" s="156">
        <v>16</v>
      </c>
      <c r="X256" s="156">
        <v>15</v>
      </c>
      <c r="Y256" s="156">
        <v>16</v>
      </c>
      <c r="Z256" s="154"/>
      <c r="AA256" s="157"/>
      <c r="AB256" s="157"/>
      <c r="AC256" s="157"/>
      <c r="AD256" s="158"/>
      <c r="AE256" s="157"/>
      <c r="AF256" s="157"/>
      <c r="AG256" s="157"/>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246"/>
      <c r="BF256" s="246"/>
      <c r="BG256" s="168"/>
      <c r="BH256" s="168"/>
      <c r="BI256" s="50"/>
    </row>
    <row r="257" spans="1:60" ht="20.100000000000001" hidden="1" customHeight="1" x14ac:dyDescent="0.25">
      <c r="A257" s="271"/>
      <c r="B257" s="272"/>
      <c r="C257" s="107"/>
      <c r="D257" s="273"/>
      <c r="E257" s="273"/>
      <c r="F257" s="154"/>
      <c r="G257" s="154"/>
      <c r="H257" s="154"/>
      <c r="I257" s="155"/>
      <c r="J257" s="154"/>
      <c r="K257" s="155"/>
      <c r="L257" s="155"/>
      <c r="M257" s="155"/>
      <c r="N257" s="155"/>
      <c r="O257" s="155"/>
      <c r="P257" s="155"/>
      <c r="Q257" s="646" t="s">
        <v>155</v>
      </c>
      <c r="R257" s="646"/>
      <c r="S257" s="646"/>
      <c r="T257" s="646"/>
      <c r="U257" s="646"/>
      <c r="V257" s="161">
        <v>13</v>
      </c>
      <c r="W257" s="161">
        <v>15</v>
      </c>
      <c r="X257" s="161"/>
      <c r="Y257" s="161"/>
      <c r="Z257" s="154"/>
      <c r="AA257" s="157"/>
      <c r="AB257" s="157"/>
      <c r="AC257" s="157"/>
      <c r="AD257" s="158"/>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246"/>
      <c r="BF257" s="246"/>
      <c r="BG257" s="168"/>
      <c r="BH257" s="168"/>
    </row>
    <row r="258" spans="1:60" ht="20.100000000000001" hidden="1" customHeight="1" x14ac:dyDescent="0.25">
      <c r="A258" s="271"/>
      <c r="B258" s="272"/>
      <c r="C258" s="107"/>
      <c r="D258" s="273"/>
      <c r="E258" s="273"/>
      <c r="F258" s="154"/>
      <c r="G258" s="154"/>
      <c r="H258" s="154"/>
      <c r="I258" s="155"/>
      <c r="J258" s="154"/>
      <c r="K258" s="155"/>
      <c r="L258" s="155"/>
      <c r="M258" s="155"/>
      <c r="N258" s="155"/>
      <c r="O258" s="155"/>
      <c r="P258" s="155"/>
      <c r="Q258" s="646" t="s">
        <v>156</v>
      </c>
      <c r="R258" s="646"/>
      <c r="S258" s="646"/>
      <c r="T258" s="646"/>
      <c r="U258" s="646"/>
      <c r="V258" s="161">
        <v>0</v>
      </c>
      <c r="W258" s="161">
        <v>0</v>
      </c>
      <c r="X258" s="161"/>
      <c r="Y258" s="161"/>
      <c r="Z258" s="154"/>
      <c r="AA258" s="157"/>
      <c r="AB258" s="157"/>
      <c r="AC258" s="157"/>
      <c r="AD258" s="158"/>
      <c r="AE258" s="157"/>
      <c r="AF258" s="157"/>
      <c r="AG258" s="157"/>
      <c r="AH258" s="157"/>
      <c r="AI258" s="157"/>
      <c r="AJ258" s="157"/>
      <c r="AK258" s="157"/>
      <c r="AL258" s="157"/>
      <c r="AM258" s="157"/>
      <c r="AN258" s="157"/>
      <c r="AO258" s="157"/>
      <c r="AP258" s="157"/>
      <c r="AQ258" s="157"/>
      <c r="AR258" s="157"/>
      <c r="AS258" s="157"/>
      <c r="AT258" s="157"/>
      <c r="AU258" s="48"/>
      <c r="AV258" s="48"/>
      <c r="AW258" s="48"/>
      <c r="AX258" s="48"/>
      <c r="AY258" s="48"/>
      <c r="AZ258" s="48"/>
      <c r="BA258" s="48"/>
      <c r="BB258" s="48"/>
      <c r="BC258" s="48"/>
      <c r="BD258" s="48"/>
      <c r="BE258" s="246"/>
      <c r="BF258" s="246"/>
      <c r="BG258" s="168"/>
      <c r="BH258" s="168"/>
    </row>
    <row r="259" spans="1:60" ht="20.100000000000001" hidden="1" customHeight="1" x14ac:dyDescent="0.25">
      <c r="A259" s="271"/>
      <c r="B259" s="272"/>
      <c r="C259" s="107"/>
      <c r="D259" s="273"/>
      <c r="E259" s="273"/>
      <c r="F259" s="154"/>
      <c r="G259" s="154"/>
      <c r="H259" s="154"/>
      <c r="I259" s="155"/>
      <c r="J259" s="154"/>
      <c r="K259" s="155"/>
      <c r="L259" s="155"/>
      <c r="M259" s="155"/>
      <c r="N259" s="155"/>
      <c r="O259" s="155"/>
      <c r="P259" s="155"/>
      <c r="Q259" s="646" t="s">
        <v>157</v>
      </c>
      <c r="R259" s="646"/>
      <c r="S259" s="646"/>
      <c r="T259" s="646"/>
      <c r="U259" s="647"/>
      <c r="V259" s="161">
        <f>+V256-V257</f>
        <v>0</v>
      </c>
      <c r="W259" s="161">
        <f>+W256-W257</f>
        <v>1</v>
      </c>
      <c r="X259" s="161">
        <f>+X256-X257</f>
        <v>15</v>
      </c>
      <c r="Y259" s="161">
        <f>+Y256-Y257</f>
        <v>16</v>
      </c>
      <c r="Z259" s="157"/>
      <c r="AA259" s="157"/>
      <c r="AB259" s="157"/>
      <c r="AC259" s="157"/>
      <c r="AD259" s="158"/>
      <c r="AE259" s="157"/>
      <c r="AF259" s="157"/>
      <c r="AG259" s="157"/>
      <c r="AH259" s="157"/>
      <c r="AI259" s="157"/>
      <c r="AJ259" s="157"/>
      <c r="AK259" s="157"/>
      <c r="AL259" s="157"/>
      <c r="AM259" s="157"/>
      <c r="AN259" s="157"/>
      <c r="AO259" s="157"/>
      <c r="AP259" s="157"/>
      <c r="AQ259" s="157"/>
      <c r="AR259" s="157"/>
      <c r="AS259" s="157"/>
      <c r="AT259" s="157"/>
      <c r="AU259" s="48"/>
      <c r="AV259" s="48"/>
      <c r="AW259" s="48"/>
      <c r="AX259" s="48"/>
      <c r="AY259" s="48"/>
      <c r="AZ259" s="48"/>
      <c r="BA259" s="48"/>
      <c r="BB259" s="48"/>
      <c r="BC259" s="48"/>
      <c r="BD259" s="48"/>
      <c r="BE259" s="246"/>
      <c r="BF259" s="246"/>
      <c r="BG259" s="168"/>
      <c r="BH259" s="168"/>
    </row>
    <row r="260" spans="1:60" ht="20.100000000000001" hidden="1" customHeight="1" x14ac:dyDescent="0.25">
      <c r="A260" s="271"/>
      <c r="B260" s="272"/>
      <c r="C260" s="107"/>
      <c r="D260" s="273"/>
      <c r="E260" s="273"/>
      <c r="F260" s="154"/>
      <c r="G260" s="154"/>
      <c r="H260" s="154"/>
      <c r="I260" s="155"/>
      <c r="J260" s="154"/>
      <c r="K260" s="155"/>
      <c r="L260" s="155"/>
      <c r="M260" s="155"/>
      <c r="N260" s="155"/>
      <c r="O260" s="155"/>
      <c r="P260" s="155"/>
      <c r="Q260" s="646" t="s">
        <v>158</v>
      </c>
      <c r="R260" s="646"/>
      <c r="S260" s="646"/>
      <c r="T260" s="646"/>
      <c r="U260" s="646"/>
      <c r="V260" s="156">
        <f>+V256</f>
        <v>13</v>
      </c>
      <c r="W260" s="156">
        <f>+W256</f>
        <v>16</v>
      </c>
      <c r="X260" s="156">
        <f>+X256</f>
        <v>15</v>
      </c>
      <c r="Y260" s="156">
        <f>+Y256</f>
        <v>16</v>
      </c>
      <c r="Z260" s="157"/>
      <c r="AA260" s="157"/>
      <c r="AB260" s="157"/>
      <c r="AC260" s="157"/>
      <c r="AD260" s="158"/>
      <c r="AE260" s="157"/>
      <c r="AF260" s="157"/>
      <c r="AG260" s="157"/>
      <c r="AH260" s="157"/>
      <c r="AI260" s="157"/>
      <c r="AJ260" s="157"/>
      <c r="AK260" s="157"/>
      <c r="AL260" s="157"/>
      <c r="AM260" s="157"/>
      <c r="AN260" s="157"/>
      <c r="AO260" s="157"/>
      <c r="AP260" s="157"/>
      <c r="AQ260" s="157"/>
      <c r="AR260" s="157"/>
      <c r="AS260" s="157"/>
      <c r="AT260" s="157"/>
      <c r="AU260" s="48"/>
      <c r="AV260" s="48"/>
      <c r="AW260" s="48"/>
      <c r="AX260" s="48"/>
      <c r="AY260" s="48"/>
      <c r="AZ260" s="48"/>
      <c r="BA260" s="48"/>
      <c r="BB260" s="48"/>
      <c r="BC260" s="48"/>
      <c r="BD260" s="48"/>
      <c r="BE260" s="246"/>
      <c r="BF260" s="246"/>
      <c r="BG260" s="168"/>
      <c r="BH260" s="168"/>
    </row>
    <row r="261" spans="1:60" ht="20.100000000000001" hidden="1" customHeight="1" x14ac:dyDescent="0.25">
      <c r="A261" s="271"/>
      <c r="B261" s="272"/>
      <c r="C261" s="107"/>
      <c r="D261" s="273"/>
      <c r="E261" s="273"/>
      <c r="F261" s="154"/>
      <c r="G261" s="154"/>
      <c r="H261" s="154"/>
      <c r="I261" s="155"/>
      <c r="J261" s="154"/>
      <c r="K261" s="155"/>
      <c r="L261" s="155"/>
      <c r="M261" s="155"/>
      <c r="N261" s="155"/>
      <c r="O261" s="155"/>
      <c r="P261" s="155"/>
      <c r="Q261" s="646" t="s">
        <v>159</v>
      </c>
      <c r="R261" s="646"/>
      <c r="S261" s="646"/>
      <c r="T261" s="646"/>
      <c r="U261" s="646"/>
      <c r="V261" s="161">
        <v>7</v>
      </c>
      <c r="W261" s="161">
        <v>7</v>
      </c>
      <c r="X261" s="161"/>
      <c r="Y261" s="161"/>
      <c r="Z261" s="157"/>
      <c r="AA261" s="157"/>
      <c r="AB261" s="157"/>
      <c r="AC261" s="157"/>
      <c r="AD261" s="158"/>
      <c r="AE261" s="157"/>
      <c r="AF261" s="157"/>
      <c r="AG261" s="157"/>
      <c r="AH261" s="157"/>
      <c r="AI261" s="157"/>
      <c r="AJ261" s="157"/>
      <c r="AK261" s="157"/>
      <c r="AL261" s="157"/>
      <c r="AM261" s="157"/>
      <c r="AN261" s="157"/>
      <c r="AO261" s="157"/>
      <c r="AP261" s="157"/>
      <c r="AQ261" s="157"/>
      <c r="AR261" s="157"/>
      <c r="AS261" s="157"/>
      <c r="AT261" s="157"/>
      <c r="AU261" s="48"/>
      <c r="AV261" s="48"/>
      <c r="AW261" s="48"/>
      <c r="AX261" s="48"/>
      <c r="AY261" s="48"/>
      <c r="AZ261" s="48"/>
      <c r="BA261" s="48"/>
      <c r="BB261" s="48"/>
      <c r="BC261" s="48"/>
      <c r="BD261" s="48"/>
      <c r="BE261" s="246"/>
      <c r="BF261" s="246"/>
      <c r="BG261" s="168"/>
      <c r="BH261" s="168"/>
    </row>
    <row r="262" spans="1:60" ht="15" hidden="1" customHeight="1" x14ac:dyDescent="0.25">
      <c r="A262" s="79"/>
      <c r="B262" s="80"/>
      <c r="C262" s="88"/>
      <c r="D262" s="82"/>
      <c r="E262" s="82"/>
      <c r="F262" s="46"/>
      <c r="G262" s="46"/>
      <c r="H262" s="46"/>
      <c r="I262" s="46"/>
      <c r="J262" s="83"/>
      <c r="K262" s="46"/>
      <c r="L262" s="46"/>
      <c r="M262" s="46"/>
      <c r="N262" s="46"/>
      <c r="O262" s="46"/>
      <c r="P262" s="46"/>
      <c r="Q262" s="46"/>
      <c r="R262" s="46"/>
      <c r="S262" s="46"/>
      <c r="T262" s="46"/>
      <c r="U262" s="46"/>
      <c r="V262" s="73"/>
      <c r="W262" s="73"/>
      <c r="X262" s="73"/>
      <c r="Y262" s="73"/>
      <c r="Z262" s="46"/>
      <c r="AA262" s="46"/>
      <c r="AB262" s="46"/>
      <c r="AC262" s="46"/>
      <c r="AD262" s="47"/>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7"/>
      <c r="BF262" s="94"/>
      <c r="BG262" s="95"/>
      <c r="BH262" s="95"/>
    </row>
    <row r="263" spans="1:60" ht="20.100000000000001" hidden="1" customHeight="1" x14ac:dyDescent="0.25">
      <c r="A263" s="79"/>
      <c r="B263" s="80"/>
      <c r="C263" s="85"/>
      <c r="D263" s="109" t="s">
        <v>103</v>
      </c>
      <c r="E263" s="82"/>
      <c r="F263" s="46"/>
      <c r="G263" s="46"/>
      <c r="H263" s="46"/>
      <c r="I263" s="46"/>
      <c r="J263" s="274">
        <v>0</v>
      </c>
      <c r="K263" s="46"/>
      <c r="L263" s="46"/>
      <c r="M263" s="46"/>
      <c r="N263" s="46"/>
      <c r="O263" s="46"/>
      <c r="P263" s="46"/>
      <c r="Q263" s="46"/>
      <c r="R263" s="46"/>
      <c r="S263" s="46"/>
      <c r="T263" s="46"/>
      <c r="U263" s="46"/>
      <c r="V263" s="42"/>
      <c r="W263" s="46"/>
      <c r="X263" s="46"/>
      <c r="Y263" s="46"/>
      <c r="Z263" s="46"/>
      <c r="AA263" s="46"/>
      <c r="AB263" s="46"/>
      <c r="AC263" s="46"/>
      <c r="AD263" s="47"/>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9"/>
    </row>
    <row r="264" spans="1:60" s="38" customFormat="1" ht="20.100000000000001" customHeight="1" x14ac:dyDescent="0.25">
      <c r="A264" s="207"/>
      <c r="B264" s="208"/>
      <c r="C264" s="209"/>
      <c r="D264" s="1000" t="s">
        <v>26</v>
      </c>
      <c r="E264" s="1000"/>
      <c r="F264" s="1000"/>
      <c r="G264" s="1000"/>
      <c r="H264" s="1000"/>
      <c r="I264" s="1000"/>
      <c r="J264" s="1000"/>
      <c r="K264" s="1000"/>
      <c r="L264" s="1000"/>
      <c r="M264" s="1000"/>
      <c r="N264" s="1000"/>
      <c r="O264" s="1000"/>
      <c r="P264" s="1000"/>
      <c r="Q264" s="1000"/>
      <c r="R264" s="1000"/>
      <c r="S264" s="1000"/>
      <c r="T264" s="1000"/>
      <c r="U264" s="1000"/>
      <c r="V264" s="1000"/>
      <c r="W264" s="1000"/>
      <c r="X264" s="1000"/>
      <c r="Y264" s="1000"/>
      <c r="Z264" s="1000"/>
      <c r="AA264" s="1000"/>
      <c r="AB264" s="1000"/>
      <c r="AC264" s="1000"/>
      <c r="AD264" s="1000"/>
      <c r="AE264" s="1000"/>
      <c r="AF264" s="1000"/>
      <c r="AG264" s="1000"/>
      <c r="AH264" s="1000"/>
      <c r="AI264" s="1000"/>
      <c r="AJ264" s="1000"/>
      <c r="AK264" s="1000"/>
      <c r="AL264" s="1000"/>
      <c r="AM264" s="1000"/>
      <c r="AN264" s="1000"/>
      <c r="AO264" s="1000"/>
      <c r="AP264" s="1000"/>
      <c r="AQ264" s="1000"/>
      <c r="AR264" s="1000"/>
      <c r="AS264" s="1000"/>
      <c r="AT264" s="561" t="s">
        <v>104</v>
      </c>
      <c r="AU264" s="563"/>
      <c r="AV264" s="563"/>
      <c r="AW264" s="563"/>
      <c r="AX264" s="563"/>
      <c r="AY264" s="563"/>
      <c r="AZ264" s="563"/>
      <c r="BA264" s="563"/>
      <c r="BB264" s="562"/>
      <c r="BC264" s="561" t="s">
        <v>105</v>
      </c>
      <c r="BD264" s="562"/>
      <c r="BE264" s="35"/>
      <c r="BF264" s="32"/>
      <c r="BG264" s="210"/>
      <c r="BH264" s="210"/>
    </row>
    <row r="265" spans="1:60" ht="15" customHeight="1" x14ac:dyDescent="0.25">
      <c r="A265" s="79"/>
      <c r="B265" s="80"/>
      <c r="C265" s="85"/>
      <c r="D265" s="691" t="s">
        <v>106</v>
      </c>
      <c r="E265" s="691" t="s">
        <v>107</v>
      </c>
      <c r="F265" s="711" t="s">
        <v>108</v>
      </c>
      <c r="G265" s="691" t="s">
        <v>109</v>
      </c>
      <c r="H265" s="711" t="s">
        <v>110</v>
      </c>
      <c r="I265" s="691" t="s">
        <v>51</v>
      </c>
      <c r="J265" s="712" t="s">
        <v>111</v>
      </c>
      <c r="K265" s="691" t="s">
        <v>52</v>
      </c>
      <c r="L265" s="691"/>
      <c r="M265" s="691"/>
      <c r="N265" s="691" t="s">
        <v>53</v>
      </c>
      <c r="O265" s="691" t="s">
        <v>54</v>
      </c>
      <c r="P265" s="703" t="s">
        <v>55</v>
      </c>
      <c r="Q265" s="703" t="s">
        <v>56</v>
      </c>
      <c r="R265" s="703" t="s">
        <v>57</v>
      </c>
      <c r="S265" s="703" t="s">
        <v>58</v>
      </c>
      <c r="T265" s="703" t="s">
        <v>59</v>
      </c>
      <c r="U265" s="691" t="s">
        <v>60</v>
      </c>
      <c r="V265" s="691"/>
      <c r="W265" s="691"/>
      <c r="X265" s="691"/>
      <c r="Y265" s="691"/>
      <c r="Z265" s="704" t="s">
        <v>61</v>
      </c>
      <c r="AA265" s="705"/>
      <c r="AB265" s="705"/>
      <c r="AC265" s="706"/>
      <c r="AD265" s="707" t="s">
        <v>62</v>
      </c>
      <c r="AE265" s="708"/>
      <c r="AF265" s="709"/>
      <c r="AG265" s="695" t="s">
        <v>63</v>
      </c>
      <c r="AH265" s="695" t="s">
        <v>64</v>
      </c>
      <c r="AI265" s="695" t="s">
        <v>65</v>
      </c>
      <c r="AJ265" s="691" t="s">
        <v>66</v>
      </c>
      <c r="AK265" s="691"/>
      <c r="AL265" s="691"/>
      <c r="AM265" s="691"/>
      <c r="AN265" s="691"/>
      <c r="AO265" s="691"/>
      <c r="AP265" s="691"/>
      <c r="AQ265" s="691"/>
      <c r="AR265" s="691"/>
      <c r="AS265" s="691"/>
      <c r="AT265" s="558" t="s">
        <v>60</v>
      </c>
      <c r="AU265" s="569" t="s">
        <v>112</v>
      </c>
      <c r="AV265" s="570"/>
      <c r="AW265" s="570"/>
      <c r="AX265" s="571"/>
      <c r="AY265" s="569" t="s">
        <v>113</v>
      </c>
      <c r="AZ265" s="570"/>
      <c r="BA265" s="570"/>
      <c r="BB265" s="571"/>
      <c r="BC265" s="584" t="s">
        <v>114</v>
      </c>
      <c r="BD265" s="587" t="s">
        <v>102</v>
      </c>
      <c r="BE265" s="48"/>
      <c r="BF265" s="49"/>
    </row>
    <row r="266" spans="1:60" ht="15" customHeight="1" x14ac:dyDescent="0.25">
      <c r="A266" s="79"/>
      <c r="B266" s="80"/>
      <c r="C266" s="85"/>
      <c r="D266" s="691"/>
      <c r="E266" s="691"/>
      <c r="F266" s="711"/>
      <c r="G266" s="691"/>
      <c r="H266" s="711"/>
      <c r="I266" s="691"/>
      <c r="J266" s="712"/>
      <c r="K266" s="691"/>
      <c r="L266" s="691"/>
      <c r="M266" s="691"/>
      <c r="N266" s="691"/>
      <c r="O266" s="691"/>
      <c r="P266" s="703"/>
      <c r="Q266" s="703"/>
      <c r="R266" s="703"/>
      <c r="S266" s="703"/>
      <c r="T266" s="703"/>
      <c r="U266" s="691" t="s">
        <v>67</v>
      </c>
      <c r="V266" s="691"/>
      <c r="W266" s="691"/>
      <c r="X266" s="691"/>
      <c r="Y266" s="691"/>
      <c r="Z266" s="692" t="s">
        <v>67</v>
      </c>
      <c r="AA266" s="693"/>
      <c r="AB266" s="693"/>
      <c r="AC266" s="694"/>
      <c r="AD266" s="695" t="s">
        <v>68</v>
      </c>
      <c r="AE266" s="695" t="s">
        <v>69</v>
      </c>
      <c r="AF266" s="695" t="s">
        <v>70</v>
      </c>
      <c r="AG266" s="696"/>
      <c r="AH266" s="696"/>
      <c r="AI266" s="696"/>
      <c r="AJ266" s="691"/>
      <c r="AK266" s="691"/>
      <c r="AL266" s="691"/>
      <c r="AM266" s="691"/>
      <c r="AN266" s="691"/>
      <c r="AO266" s="691"/>
      <c r="AP266" s="691"/>
      <c r="AQ266" s="691"/>
      <c r="AR266" s="691"/>
      <c r="AS266" s="691"/>
      <c r="AT266" s="559"/>
      <c r="AU266" s="572"/>
      <c r="AV266" s="573"/>
      <c r="AW266" s="573"/>
      <c r="AX266" s="574"/>
      <c r="AY266" s="572"/>
      <c r="AZ266" s="573"/>
      <c r="BA266" s="573"/>
      <c r="BB266" s="574"/>
      <c r="BC266" s="585"/>
      <c r="BD266" s="588"/>
      <c r="BE266" s="48"/>
      <c r="BF266" s="49"/>
    </row>
    <row r="267" spans="1:60" s="95" customFormat="1" ht="24" customHeight="1" thickBot="1" x14ac:dyDescent="0.3">
      <c r="A267" s="86"/>
      <c r="B267" s="87"/>
      <c r="C267" s="88"/>
      <c r="D267" s="691"/>
      <c r="E267" s="691"/>
      <c r="F267" s="711"/>
      <c r="G267" s="691"/>
      <c r="H267" s="711"/>
      <c r="I267" s="691"/>
      <c r="J267" s="712"/>
      <c r="K267" s="89" t="s">
        <v>71</v>
      </c>
      <c r="L267" s="89" t="s">
        <v>115</v>
      </c>
      <c r="M267" s="89" t="s">
        <v>72</v>
      </c>
      <c r="N267" s="691"/>
      <c r="O267" s="691"/>
      <c r="P267" s="703"/>
      <c r="Q267" s="703"/>
      <c r="R267" s="703"/>
      <c r="S267" s="703"/>
      <c r="T267" s="703"/>
      <c r="U267" s="90" t="s">
        <v>73</v>
      </c>
      <c r="V267" s="89">
        <v>1</v>
      </c>
      <c r="W267" s="91">
        <v>2</v>
      </c>
      <c r="X267" s="91">
        <v>3</v>
      </c>
      <c r="Y267" s="110">
        <v>4</v>
      </c>
      <c r="Z267" s="162">
        <v>1</v>
      </c>
      <c r="AA267" s="110">
        <v>2</v>
      </c>
      <c r="AB267" s="110">
        <v>3</v>
      </c>
      <c r="AC267" s="110">
        <v>4</v>
      </c>
      <c r="AD267" s="696"/>
      <c r="AE267" s="696"/>
      <c r="AF267" s="696"/>
      <c r="AG267" s="696"/>
      <c r="AH267" s="696"/>
      <c r="AI267" s="697"/>
      <c r="AJ267" s="89" t="s">
        <v>74</v>
      </c>
      <c r="AK267" s="91" t="s">
        <v>75</v>
      </c>
      <c r="AL267" s="91" t="s">
        <v>76</v>
      </c>
      <c r="AM267" s="91" t="s">
        <v>77</v>
      </c>
      <c r="AN267" s="92" t="s">
        <v>78</v>
      </c>
      <c r="AO267" s="92" t="s">
        <v>79</v>
      </c>
      <c r="AP267" s="92" t="s">
        <v>80</v>
      </c>
      <c r="AQ267" s="92" t="s">
        <v>81</v>
      </c>
      <c r="AR267" s="93" t="s">
        <v>82</v>
      </c>
      <c r="AS267" s="93" t="s">
        <v>83</v>
      </c>
      <c r="AT267" s="560"/>
      <c r="AU267" s="217" t="s">
        <v>116</v>
      </c>
      <c r="AV267" s="217" t="s">
        <v>117</v>
      </c>
      <c r="AW267" s="217" t="s">
        <v>118</v>
      </c>
      <c r="AX267" s="217" t="s">
        <v>119</v>
      </c>
      <c r="AY267" s="217" t="s">
        <v>116</v>
      </c>
      <c r="AZ267" s="217" t="s">
        <v>117</v>
      </c>
      <c r="BA267" s="217" t="s">
        <v>118</v>
      </c>
      <c r="BB267" s="217" t="s">
        <v>119</v>
      </c>
      <c r="BC267" s="586"/>
      <c r="BD267" s="589"/>
      <c r="BE267" s="48"/>
      <c r="BF267" s="49"/>
    </row>
    <row r="268" spans="1:60" s="175" customFormat="1" ht="30" customHeight="1" x14ac:dyDescent="0.25">
      <c r="A268" s="731"/>
      <c r="B268" s="664"/>
      <c r="C268" s="1020">
        <v>1</v>
      </c>
      <c r="D268" s="1033" t="s">
        <v>26</v>
      </c>
      <c r="E268" s="1014" t="s">
        <v>353</v>
      </c>
      <c r="F268" s="1017">
        <v>0.93</v>
      </c>
      <c r="G268" s="776" t="s">
        <v>461</v>
      </c>
      <c r="H268" s="915">
        <v>0.15</v>
      </c>
      <c r="I268" s="1040" t="s">
        <v>462</v>
      </c>
      <c r="J268" s="776">
        <v>1</v>
      </c>
      <c r="K268" s="770" t="s">
        <v>463</v>
      </c>
      <c r="L268" s="770" t="s">
        <v>464</v>
      </c>
      <c r="M268" s="722" t="str">
        <f>CONCATENATE(U268,$U$32,U269)</f>
        <v>Visitas de seguriddad e higiene realizadas / Visitas de seguridad e higiene programadas</v>
      </c>
      <c r="N268" s="722" t="s">
        <v>465</v>
      </c>
      <c r="O268" s="736" t="s">
        <v>359</v>
      </c>
      <c r="P268" s="927">
        <v>0.15</v>
      </c>
      <c r="Q268" s="758">
        <v>1</v>
      </c>
      <c r="R268" s="758">
        <v>1</v>
      </c>
      <c r="S268" s="758">
        <v>1</v>
      </c>
      <c r="T268" s="764" t="s">
        <v>151</v>
      </c>
      <c r="U268" s="164" t="s">
        <v>466</v>
      </c>
      <c r="V268" s="275"/>
      <c r="W268" s="275"/>
      <c r="X268" s="250"/>
      <c r="Y268" s="250"/>
      <c r="Z268" s="130"/>
      <c r="AA268" s="130"/>
      <c r="AB268" s="130"/>
      <c r="AC268" s="130"/>
      <c r="AD268" s="1004">
        <f>+AE268+AF268+AG268</f>
        <v>96000000</v>
      </c>
      <c r="AE268" s="1007">
        <v>0</v>
      </c>
      <c r="AF268" s="1007">
        <v>96000000</v>
      </c>
      <c r="AG268" s="1007">
        <v>0</v>
      </c>
      <c r="AH268" s="736" t="s">
        <v>467</v>
      </c>
      <c r="AI268" s="736" t="s">
        <v>468</v>
      </c>
      <c r="AJ268" s="713" t="s">
        <v>94</v>
      </c>
      <c r="AK268" s="1030"/>
      <c r="AL268" s="1030"/>
      <c r="AM268" s="713" t="s">
        <v>94</v>
      </c>
      <c r="AN268" s="713" t="s">
        <v>94</v>
      </c>
      <c r="AO268" s="713"/>
      <c r="AP268" s="713"/>
      <c r="AQ268" s="713" t="s">
        <v>94</v>
      </c>
      <c r="AR268" s="713"/>
      <c r="AS268" s="713"/>
      <c r="AT268" s="276" t="s">
        <v>129</v>
      </c>
      <c r="AU268" s="203">
        <f t="shared" ref="AU268:BB268" si="223">+V270*$J$268</f>
        <v>0</v>
      </c>
      <c r="AV268" s="203">
        <f t="shared" si="223"/>
        <v>0</v>
      </c>
      <c r="AW268" s="203">
        <f t="shared" si="223"/>
        <v>0</v>
      </c>
      <c r="AX268" s="203">
        <f t="shared" si="223"/>
        <v>0</v>
      </c>
      <c r="AY268" s="203">
        <f t="shared" si="223"/>
        <v>0</v>
      </c>
      <c r="AZ268" s="203">
        <f t="shared" si="223"/>
        <v>0</v>
      </c>
      <c r="BA268" s="203">
        <f t="shared" si="223"/>
        <v>0</v>
      </c>
      <c r="BB268" s="203">
        <f t="shared" si="223"/>
        <v>0</v>
      </c>
      <c r="BC268" s="1034">
        <f>+BB270</f>
        <v>0</v>
      </c>
      <c r="BD268" s="1037">
        <f>+BC268+BC289+BC292</f>
        <v>0</v>
      </c>
      <c r="BE268" s="277"/>
      <c r="BF268" s="278"/>
    </row>
    <row r="269" spans="1:60" s="175" customFormat="1" ht="30" customHeight="1" x14ac:dyDescent="0.25">
      <c r="A269" s="731"/>
      <c r="B269" s="664"/>
      <c r="C269" s="1020"/>
      <c r="D269" s="1033"/>
      <c r="E269" s="1015"/>
      <c r="F269" s="1018"/>
      <c r="G269" s="777"/>
      <c r="H269" s="916"/>
      <c r="I269" s="1041"/>
      <c r="J269" s="777"/>
      <c r="K269" s="771"/>
      <c r="L269" s="771"/>
      <c r="M269" s="723"/>
      <c r="N269" s="723"/>
      <c r="O269" s="737"/>
      <c r="P269" s="928"/>
      <c r="Q269" s="759"/>
      <c r="R269" s="759"/>
      <c r="S269" s="759"/>
      <c r="T269" s="765"/>
      <c r="U269" s="194" t="s">
        <v>469</v>
      </c>
      <c r="V269" s="170">
        <v>35</v>
      </c>
      <c r="W269" s="170">
        <v>60</v>
      </c>
      <c r="X269" s="170">
        <v>20</v>
      </c>
      <c r="Y269" s="170">
        <v>25</v>
      </c>
      <c r="Z269" s="220">
        <f>+V269</f>
        <v>35</v>
      </c>
      <c r="AA269" s="220">
        <f>+V269+W269</f>
        <v>95</v>
      </c>
      <c r="AB269" s="220">
        <f>+V269+W269+X269</f>
        <v>115</v>
      </c>
      <c r="AC269" s="220">
        <f>+V269+W269+X269+Y269</f>
        <v>140</v>
      </c>
      <c r="AD269" s="1005"/>
      <c r="AE269" s="1008"/>
      <c r="AF269" s="1008"/>
      <c r="AG269" s="1008"/>
      <c r="AH269" s="737"/>
      <c r="AI269" s="737"/>
      <c r="AJ269" s="714"/>
      <c r="AK269" s="1031"/>
      <c r="AL269" s="1031"/>
      <c r="AM269" s="714"/>
      <c r="AN269" s="714"/>
      <c r="AO269" s="714"/>
      <c r="AP269" s="714"/>
      <c r="AQ269" s="714"/>
      <c r="AR269" s="714"/>
      <c r="AS269" s="714"/>
      <c r="AT269" s="276" t="s">
        <v>131</v>
      </c>
      <c r="AU269" s="203">
        <f>+AU268*$H$268</f>
        <v>0</v>
      </c>
      <c r="AV269" s="203">
        <f t="shared" ref="AV269:BB269" si="224">+AV268*$H$268</f>
        <v>0</v>
      </c>
      <c r="AW269" s="203">
        <f t="shared" si="224"/>
        <v>0</v>
      </c>
      <c r="AX269" s="203">
        <f t="shared" si="224"/>
        <v>0</v>
      </c>
      <c r="AY269" s="203">
        <f t="shared" si="224"/>
        <v>0</v>
      </c>
      <c r="AZ269" s="203">
        <f t="shared" si="224"/>
        <v>0</v>
      </c>
      <c r="BA269" s="203">
        <f t="shared" si="224"/>
        <v>0</v>
      </c>
      <c r="BB269" s="203">
        <f t="shared" si="224"/>
        <v>0</v>
      </c>
      <c r="BC269" s="1035"/>
      <c r="BD269" s="1038"/>
      <c r="BE269" s="277"/>
      <c r="BF269" s="278"/>
    </row>
    <row r="270" spans="1:60" s="175" customFormat="1" ht="24.95" customHeight="1" x14ac:dyDescent="0.25">
      <c r="A270" s="731"/>
      <c r="B270" s="664"/>
      <c r="C270" s="1020"/>
      <c r="D270" s="1033"/>
      <c r="E270" s="1015"/>
      <c r="F270" s="1018"/>
      <c r="G270" s="777"/>
      <c r="H270" s="917"/>
      <c r="I270" s="1042"/>
      <c r="J270" s="778"/>
      <c r="K270" s="772"/>
      <c r="L270" s="772"/>
      <c r="M270" s="724"/>
      <c r="N270" s="724"/>
      <c r="O270" s="738"/>
      <c r="P270" s="929"/>
      <c r="Q270" s="760"/>
      <c r="R270" s="760"/>
      <c r="S270" s="760"/>
      <c r="T270" s="766"/>
      <c r="U270" s="170" t="s">
        <v>96</v>
      </c>
      <c r="V270" s="221">
        <f t="shared" ref="V270:AC270" si="225">IF((V268/V269)&lt;$I$8,(V268/V269),IF((V268/V269)&lt;$J$8,(V268/V269),IF((V268/V269)&lt;$J$9,(V268/V269),IF((V268/V269)&gt;=$J$9,$J$9))))</f>
        <v>0</v>
      </c>
      <c r="W270" s="221">
        <f t="shared" si="225"/>
        <v>0</v>
      </c>
      <c r="X270" s="221">
        <f t="shared" si="225"/>
        <v>0</v>
      </c>
      <c r="Y270" s="221">
        <f t="shared" si="225"/>
        <v>0</v>
      </c>
      <c r="Z270" s="221">
        <f t="shared" si="225"/>
        <v>0</v>
      </c>
      <c r="AA270" s="221">
        <f t="shared" si="225"/>
        <v>0</v>
      </c>
      <c r="AB270" s="221">
        <f t="shared" si="225"/>
        <v>0</v>
      </c>
      <c r="AC270" s="221">
        <f t="shared" si="225"/>
        <v>0</v>
      </c>
      <c r="AD270" s="1006"/>
      <c r="AE270" s="1009"/>
      <c r="AF270" s="1009"/>
      <c r="AG270" s="1009"/>
      <c r="AH270" s="738"/>
      <c r="AI270" s="738"/>
      <c r="AJ270" s="715"/>
      <c r="AK270" s="1032"/>
      <c r="AL270" s="1032"/>
      <c r="AM270" s="715"/>
      <c r="AN270" s="715"/>
      <c r="AO270" s="715"/>
      <c r="AP270" s="715"/>
      <c r="AQ270" s="715"/>
      <c r="AR270" s="715"/>
      <c r="AS270" s="715"/>
      <c r="AT270" s="276" t="s">
        <v>132</v>
      </c>
      <c r="AU270" s="203">
        <f>+((+AU268+AU271+AU274+AU277+AU280+AU283+AU286)/7)*$F$268</f>
        <v>0</v>
      </c>
      <c r="AV270" s="203">
        <f t="shared" ref="AV270:BB270" si="226">+((+AV268+AV271+AV274+AV277+AV280+AV283+AV286)/7)*$F$268</f>
        <v>0</v>
      </c>
      <c r="AW270" s="203">
        <f t="shared" si="226"/>
        <v>0</v>
      </c>
      <c r="AX270" s="203">
        <f t="shared" si="226"/>
        <v>0</v>
      </c>
      <c r="AY270" s="203">
        <f t="shared" si="226"/>
        <v>0</v>
      </c>
      <c r="AZ270" s="203">
        <f t="shared" si="226"/>
        <v>0</v>
      </c>
      <c r="BA270" s="203">
        <f t="shared" si="226"/>
        <v>0</v>
      </c>
      <c r="BB270" s="203">
        <f t="shared" si="226"/>
        <v>0</v>
      </c>
      <c r="BC270" s="1035"/>
      <c r="BD270" s="1038"/>
      <c r="BE270" s="277"/>
      <c r="BF270" s="278"/>
    </row>
    <row r="271" spans="1:60" s="175" customFormat="1" ht="30" customHeight="1" x14ac:dyDescent="0.25">
      <c r="A271" s="731"/>
      <c r="B271" s="664"/>
      <c r="C271" s="1020">
        <v>2</v>
      </c>
      <c r="D271" s="1033"/>
      <c r="E271" s="1015"/>
      <c r="F271" s="1018"/>
      <c r="G271" s="777"/>
      <c r="H271" s="915">
        <v>0.15</v>
      </c>
      <c r="I271" s="722" t="s">
        <v>470</v>
      </c>
      <c r="J271" s="776">
        <v>1</v>
      </c>
      <c r="K271" s="770" t="s">
        <v>471</v>
      </c>
      <c r="L271" s="770" t="s">
        <v>472</v>
      </c>
      <c r="M271" s="722" t="s">
        <v>473</v>
      </c>
      <c r="N271" s="722" t="s">
        <v>465</v>
      </c>
      <c r="O271" s="736" t="s">
        <v>359</v>
      </c>
      <c r="P271" s="927">
        <v>0.15</v>
      </c>
      <c r="Q271" s="758">
        <v>1</v>
      </c>
      <c r="R271" s="758">
        <v>1</v>
      </c>
      <c r="S271" s="758">
        <v>1</v>
      </c>
      <c r="T271" s="764" t="s">
        <v>151</v>
      </c>
      <c r="U271" s="164" t="s">
        <v>474</v>
      </c>
      <c r="V271" s="275"/>
      <c r="W271" s="275"/>
      <c r="X271" s="250"/>
      <c r="Y271" s="250"/>
      <c r="Z271" s="130"/>
      <c r="AA271" s="130"/>
      <c r="AB271" s="130"/>
      <c r="AC271" s="130"/>
      <c r="AD271" s="1004">
        <f>+AE271+AF271+AG271</f>
        <v>0</v>
      </c>
      <c r="AE271" s="1007">
        <v>0</v>
      </c>
      <c r="AF271" s="1007">
        <v>0</v>
      </c>
      <c r="AG271" s="1007">
        <v>0</v>
      </c>
      <c r="AH271" s="736" t="s">
        <v>467</v>
      </c>
      <c r="AI271" s="736" t="s">
        <v>468</v>
      </c>
      <c r="AJ271" s="713" t="s">
        <v>94</v>
      </c>
      <c r="AK271" s="1030"/>
      <c r="AL271" s="1030"/>
      <c r="AM271" s="713"/>
      <c r="AN271" s="713" t="s">
        <v>94</v>
      </c>
      <c r="AO271" s="713"/>
      <c r="AP271" s="713"/>
      <c r="AQ271" s="713" t="s">
        <v>94</v>
      </c>
      <c r="AR271" s="713"/>
      <c r="AS271" s="713"/>
      <c r="AT271" s="276" t="s">
        <v>129</v>
      </c>
      <c r="AU271" s="203">
        <f t="shared" ref="AU271:BB271" si="227">+V273*$J$271</f>
        <v>0</v>
      </c>
      <c r="AV271" s="203">
        <f t="shared" si="227"/>
        <v>0</v>
      </c>
      <c r="AW271" s="203">
        <f t="shared" si="227"/>
        <v>0</v>
      </c>
      <c r="AX271" s="203">
        <f t="shared" si="227"/>
        <v>0</v>
      </c>
      <c r="AY271" s="203">
        <f t="shared" si="227"/>
        <v>0</v>
      </c>
      <c r="AZ271" s="203">
        <f t="shared" si="227"/>
        <v>0</v>
      </c>
      <c r="BA271" s="203">
        <f t="shared" si="227"/>
        <v>0</v>
      </c>
      <c r="BB271" s="203">
        <f t="shared" si="227"/>
        <v>0</v>
      </c>
      <c r="BC271" s="1035"/>
      <c r="BD271" s="1038"/>
      <c r="BE271" s="277"/>
      <c r="BF271" s="278"/>
    </row>
    <row r="272" spans="1:60" s="175" customFormat="1" ht="30" customHeight="1" x14ac:dyDescent="0.25">
      <c r="A272" s="731"/>
      <c r="B272" s="664"/>
      <c r="C272" s="1020"/>
      <c r="D272" s="1033"/>
      <c r="E272" s="1015"/>
      <c r="F272" s="1018"/>
      <c r="G272" s="777"/>
      <c r="H272" s="916"/>
      <c r="I272" s="723"/>
      <c r="J272" s="777"/>
      <c r="K272" s="771"/>
      <c r="L272" s="771"/>
      <c r="M272" s="723"/>
      <c r="N272" s="723"/>
      <c r="O272" s="737"/>
      <c r="P272" s="928"/>
      <c r="Q272" s="759"/>
      <c r="R272" s="759"/>
      <c r="S272" s="759"/>
      <c r="T272" s="765"/>
      <c r="U272" s="194" t="s">
        <v>475</v>
      </c>
      <c r="V272" s="170">
        <v>220</v>
      </c>
      <c r="W272" s="170">
        <v>480</v>
      </c>
      <c r="X272" s="170">
        <v>320</v>
      </c>
      <c r="Y272" s="170">
        <v>180</v>
      </c>
      <c r="Z272" s="170">
        <f>V272</f>
        <v>220</v>
      </c>
      <c r="AA272" s="170">
        <f>V272+W272</f>
        <v>700</v>
      </c>
      <c r="AB272" s="170">
        <f>V272+W272+X272</f>
        <v>1020</v>
      </c>
      <c r="AC272" s="170">
        <f>V272+W272+X272+Y272</f>
        <v>1200</v>
      </c>
      <c r="AD272" s="1005"/>
      <c r="AE272" s="1008"/>
      <c r="AF272" s="1008"/>
      <c r="AG272" s="1008"/>
      <c r="AH272" s="737"/>
      <c r="AI272" s="737"/>
      <c r="AJ272" s="714"/>
      <c r="AK272" s="1031"/>
      <c r="AL272" s="1031"/>
      <c r="AM272" s="714"/>
      <c r="AN272" s="714"/>
      <c r="AO272" s="714"/>
      <c r="AP272" s="714"/>
      <c r="AQ272" s="714"/>
      <c r="AR272" s="714"/>
      <c r="AS272" s="714"/>
      <c r="AT272" s="276" t="s">
        <v>131</v>
      </c>
      <c r="AU272" s="203">
        <f>+AU271*$H$271</f>
        <v>0</v>
      </c>
      <c r="AV272" s="203">
        <f t="shared" ref="AV272:BB272" si="228">+AV271*$H$271</f>
        <v>0</v>
      </c>
      <c r="AW272" s="203">
        <f t="shared" si="228"/>
        <v>0</v>
      </c>
      <c r="AX272" s="203">
        <f t="shared" si="228"/>
        <v>0</v>
      </c>
      <c r="AY272" s="203">
        <f t="shared" si="228"/>
        <v>0</v>
      </c>
      <c r="AZ272" s="203">
        <f t="shared" si="228"/>
        <v>0</v>
      </c>
      <c r="BA272" s="203">
        <f t="shared" si="228"/>
        <v>0</v>
      </c>
      <c r="BB272" s="203">
        <f t="shared" si="228"/>
        <v>0</v>
      </c>
      <c r="BC272" s="1035"/>
      <c r="BD272" s="1038"/>
      <c r="BE272" s="277"/>
      <c r="BF272" s="278"/>
    </row>
    <row r="273" spans="1:61" s="175" customFormat="1" ht="24.95" customHeight="1" x14ac:dyDescent="0.25">
      <c r="A273" s="731"/>
      <c r="B273" s="664"/>
      <c r="C273" s="1020"/>
      <c r="D273" s="1033"/>
      <c r="E273" s="1015"/>
      <c r="F273" s="1018"/>
      <c r="G273" s="777"/>
      <c r="H273" s="917"/>
      <c r="I273" s="724"/>
      <c r="J273" s="778"/>
      <c r="K273" s="772"/>
      <c r="L273" s="772"/>
      <c r="M273" s="724"/>
      <c r="N273" s="724"/>
      <c r="O273" s="738"/>
      <c r="P273" s="929"/>
      <c r="Q273" s="760"/>
      <c r="R273" s="760"/>
      <c r="S273" s="760"/>
      <c r="T273" s="766"/>
      <c r="U273" s="170" t="s">
        <v>96</v>
      </c>
      <c r="V273" s="221">
        <f t="shared" ref="V273:AC273" si="229">IF((V271/V272)&lt;$I$8,(V271/V272),IF((V271/V272)&lt;$J$8,(V271/V272),IF((V271/V272)&lt;$J$9,(V271/V272),IF((V271/V272)&gt;=$J$9,$J$9))))</f>
        <v>0</v>
      </c>
      <c r="W273" s="221">
        <f t="shared" si="229"/>
        <v>0</v>
      </c>
      <c r="X273" s="221">
        <f t="shared" si="229"/>
        <v>0</v>
      </c>
      <c r="Y273" s="221">
        <f t="shared" si="229"/>
        <v>0</v>
      </c>
      <c r="Z273" s="221">
        <f t="shared" si="229"/>
        <v>0</v>
      </c>
      <c r="AA273" s="221">
        <f t="shared" si="229"/>
        <v>0</v>
      </c>
      <c r="AB273" s="221">
        <f t="shared" si="229"/>
        <v>0</v>
      </c>
      <c r="AC273" s="221">
        <f t="shared" si="229"/>
        <v>0</v>
      </c>
      <c r="AD273" s="1006"/>
      <c r="AE273" s="1009"/>
      <c r="AF273" s="1009"/>
      <c r="AG273" s="1009"/>
      <c r="AH273" s="738"/>
      <c r="AI273" s="738"/>
      <c r="AJ273" s="715"/>
      <c r="AK273" s="1032"/>
      <c r="AL273" s="1032"/>
      <c r="AM273" s="715"/>
      <c r="AN273" s="715"/>
      <c r="AO273" s="715"/>
      <c r="AP273" s="715"/>
      <c r="AQ273" s="715"/>
      <c r="AR273" s="715"/>
      <c r="AS273" s="715"/>
      <c r="AT273" s="276" t="s">
        <v>132</v>
      </c>
      <c r="AU273" s="575"/>
      <c r="AV273" s="576"/>
      <c r="AW273" s="576"/>
      <c r="AX273" s="576"/>
      <c r="AY273" s="576"/>
      <c r="AZ273" s="576"/>
      <c r="BA273" s="576"/>
      <c r="BB273" s="577"/>
      <c r="BC273" s="1035"/>
      <c r="BD273" s="1038"/>
      <c r="BE273" s="277"/>
      <c r="BF273" s="278"/>
    </row>
    <row r="274" spans="1:61" s="168" customFormat="1" ht="30" customHeight="1" x14ac:dyDescent="0.25">
      <c r="A274" s="731"/>
      <c r="B274" s="664"/>
      <c r="C274" s="1020">
        <v>3</v>
      </c>
      <c r="D274" s="1033"/>
      <c r="E274" s="1015"/>
      <c r="F274" s="1018"/>
      <c r="G274" s="777"/>
      <c r="H274" s="915">
        <v>0.15</v>
      </c>
      <c r="I274" s="722" t="s">
        <v>476</v>
      </c>
      <c r="J274" s="776">
        <v>1</v>
      </c>
      <c r="K274" s="770" t="s">
        <v>477</v>
      </c>
      <c r="L274" s="770" t="s">
        <v>478</v>
      </c>
      <c r="M274" s="722" t="str">
        <f>CONCATENATE(U274,$U$32,U275)</f>
        <v>Jornadas ejecutadas / jornadas programadas</v>
      </c>
      <c r="N274" s="722" t="s">
        <v>465</v>
      </c>
      <c r="O274" s="736" t="s">
        <v>359</v>
      </c>
      <c r="P274" s="927">
        <v>0.15</v>
      </c>
      <c r="Q274" s="758">
        <v>1</v>
      </c>
      <c r="R274" s="758">
        <v>1</v>
      </c>
      <c r="S274" s="758">
        <v>1</v>
      </c>
      <c r="T274" s="764" t="s">
        <v>151</v>
      </c>
      <c r="U274" s="164" t="s">
        <v>479</v>
      </c>
      <c r="V274" s="275"/>
      <c r="W274" s="275"/>
      <c r="X274" s="250"/>
      <c r="Y274" s="250"/>
      <c r="Z274" s="130"/>
      <c r="AA274" s="130"/>
      <c r="AB274" s="130"/>
      <c r="AC274" s="130"/>
      <c r="AD274" s="1004">
        <f>+AE274+AF274+AG274</f>
        <v>126000000</v>
      </c>
      <c r="AE274" s="1007">
        <v>0</v>
      </c>
      <c r="AF274" s="1007">
        <v>126000000</v>
      </c>
      <c r="AG274" s="1007">
        <v>0</v>
      </c>
      <c r="AH274" s="736" t="s">
        <v>467</v>
      </c>
      <c r="AI274" s="713" t="s">
        <v>468</v>
      </c>
      <c r="AJ274" s="713" t="s">
        <v>94</v>
      </c>
      <c r="AK274" s="713"/>
      <c r="AL274" s="713"/>
      <c r="AM274" s="713" t="s">
        <v>94</v>
      </c>
      <c r="AN274" s="713" t="s">
        <v>94</v>
      </c>
      <c r="AO274" s="713"/>
      <c r="AP274" s="713"/>
      <c r="AQ274" s="713" t="s">
        <v>94</v>
      </c>
      <c r="AR274" s="713"/>
      <c r="AS274" s="713"/>
      <c r="AT274" s="276" t="s">
        <v>129</v>
      </c>
      <c r="AU274" s="203">
        <f t="shared" ref="AU274:BB274" si="230">+V276*$J$274</f>
        <v>0</v>
      </c>
      <c r="AV274" s="203">
        <f t="shared" si="230"/>
        <v>0</v>
      </c>
      <c r="AW274" s="203">
        <f t="shared" si="230"/>
        <v>0</v>
      </c>
      <c r="AX274" s="203">
        <f t="shared" si="230"/>
        <v>0</v>
      </c>
      <c r="AY274" s="203">
        <f t="shared" si="230"/>
        <v>0</v>
      </c>
      <c r="AZ274" s="203">
        <f t="shared" si="230"/>
        <v>0</v>
      </c>
      <c r="BA274" s="203">
        <f t="shared" si="230"/>
        <v>0</v>
      </c>
      <c r="BB274" s="203">
        <f t="shared" si="230"/>
        <v>0</v>
      </c>
      <c r="BC274" s="1035"/>
      <c r="BD274" s="1038"/>
      <c r="BE274" s="277"/>
      <c r="BF274" s="278"/>
      <c r="BG274" s="175"/>
      <c r="BH274" s="175"/>
    </row>
    <row r="275" spans="1:61" s="168" customFormat="1" ht="30" customHeight="1" x14ac:dyDescent="0.25">
      <c r="A275" s="731"/>
      <c r="B275" s="664"/>
      <c r="C275" s="1020"/>
      <c r="D275" s="1033"/>
      <c r="E275" s="1015"/>
      <c r="F275" s="1018"/>
      <c r="G275" s="777"/>
      <c r="H275" s="916"/>
      <c r="I275" s="723"/>
      <c r="J275" s="777"/>
      <c r="K275" s="771"/>
      <c r="L275" s="771"/>
      <c r="M275" s="723"/>
      <c r="N275" s="723"/>
      <c r="O275" s="737"/>
      <c r="P275" s="928"/>
      <c r="Q275" s="759"/>
      <c r="R275" s="759"/>
      <c r="S275" s="759"/>
      <c r="T275" s="765"/>
      <c r="U275" s="170" t="s">
        <v>480</v>
      </c>
      <c r="V275" s="170">
        <v>10</v>
      </c>
      <c r="W275" s="170">
        <v>20</v>
      </c>
      <c r="X275" s="170">
        <v>15</v>
      </c>
      <c r="Y275" s="170">
        <v>15</v>
      </c>
      <c r="Z275" s="170">
        <v>10</v>
      </c>
      <c r="AA275" s="170">
        <v>30</v>
      </c>
      <c r="AB275" s="170">
        <v>45</v>
      </c>
      <c r="AC275" s="170">
        <v>60</v>
      </c>
      <c r="AD275" s="1005"/>
      <c r="AE275" s="1008"/>
      <c r="AF275" s="1008"/>
      <c r="AG275" s="1008"/>
      <c r="AH275" s="737"/>
      <c r="AI275" s="714"/>
      <c r="AJ275" s="714"/>
      <c r="AK275" s="714"/>
      <c r="AL275" s="714"/>
      <c r="AM275" s="714"/>
      <c r="AN275" s="714"/>
      <c r="AO275" s="714"/>
      <c r="AP275" s="714"/>
      <c r="AQ275" s="714"/>
      <c r="AR275" s="714"/>
      <c r="AS275" s="714"/>
      <c r="AT275" s="276" t="s">
        <v>131</v>
      </c>
      <c r="AU275" s="203">
        <f>+AU274*$H$274</f>
        <v>0</v>
      </c>
      <c r="AV275" s="203">
        <f t="shared" ref="AV275:BB275" si="231">+AV274*$H$274</f>
        <v>0</v>
      </c>
      <c r="AW275" s="203">
        <f t="shared" si="231"/>
        <v>0</v>
      </c>
      <c r="AX275" s="203">
        <f t="shared" si="231"/>
        <v>0</v>
      </c>
      <c r="AY275" s="203">
        <f t="shared" si="231"/>
        <v>0</v>
      </c>
      <c r="AZ275" s="203">
        <f t="shared" si="231"/>
        <v>0</v>
      </c>
      <c r="BA275" s="203">
        <f t="shared" si="231"/>
        <v>0</v>
      </c>
      <c r="BB275" s="203">
        <f t="shared" si="231"/>
        <v>0</v>
      </c>
      <c r="BC275" s="1035"/>
      <c r="BD275" s="1038"/>
      <c r="BE275" s="277"/>
      <c r="BF275" s="278"/>
      <c r="BG275" s="175"/>
      <c r="BH275" s="175"/>
    </row>
    <row r="276" spans="1:61" s="168" customFormat="1" ht="24.95" customHeight="1" x14ac:dyDescent="0.25">
      <c r="A276" s="731"/>
      <c r="B276" s="664"/>
      <c r="C276" s="1020"/>
      <c r="D276" s="1033"/>
      <c r="E276" s="1015"/>
      <c r="F276" s="1018"/>
      <c r="G276" s="777"/>
      <c r="H276" s="917"/>
      <c r="I276" s="724"/>
      <c r="J276" s="778"/>
      <c r="K276" s="772"/>
      <c r="L276" s="772"/>
      <c r="M276" s="724"/>
      <c r="N276" s="724"/>
      <c r="O276" s="738"/>
      <c r="P276" s="929"/>
      <c r="Q276" s="760"/>
      <c r="R276" s="760"/>
      <c r="S276" s="760"/>
      <c r="T276" s="766"/>
      <c r="U276" s="170" t="s">
        <v>96</v>
      </c>
      <c r="V276" s="221">
        <f t="shared" ref="V276:AC276" si="232">IF((V274/V275)&lt;$I$8,(V274/V275),IF((V274/V275)&lt;$J$8,(V274/V275),IF((V274/V275)&lt;$J$9,(V274/V275),IF((V274/V275)&gt;=$J$9,$J$9))))</f>
        <v>0</v>
      </c>
      <c r="W276" s="221">
        <f t="shared" si="232"/>
        <v>0</v>
      </c>
      <c r="X276" s="221">
        <f t="shared" si="232"/>
        <v>0</v>
      </c>
      <c r="Y276" s="221">
        <f t="shared" si="232"/>
        <v>0</v>
      </c>
      <c r="Z276" s="221">
        <f t="shared" si="232"/>
        <v>0</v>
      </c>
      <c r="AA276" s="221">
        <f t="shared" si="232"/>
        <v>0</v>
      </c>
      <c r="AB276" s="221">
        <f t="shared" si="232"/>
        <v>0</v>
      </c>
      <c r="AC276" s="221">
        <f t="shared" si="232"/>
        <v>0</v>
      </c>
      <c r="AD276" s="1006"/>
      <c r="AE276" s="1009"/>
      <c r="AF276" s="1009"/>
      <c r="AG276" s="1009"/>
      <c r="AH276" s="738"/>
      <c r="AI276" s="715"/>
      <c r="AJ276" s="715"/>
      <c r="AK276" s="715"/>
      <c r="AL276" s="715"/>
      <c r="AM276" s="715"/>
      <c r="AN276" s="715"/>
      <c r="AO276" s="715"/>
      <c r="AP276" s="715"/>
      <c r="AQ276" s="715"/>
      <c r="AR276" s="715"/>
      <c r="AS276" s="715"/>
      <c r="AT276" s="276" t="s">
        <v>132</v>
      </c>
      <c r="AU276" s="575"/>
      <c r="AV276" s="576"/>
      <c r="AW276" s="576"/>
      <c r="AX276" s="576"/>
      <c r="AY276" s="576"/>
      <c r="AZ276" s="576"/>
      <c r="BA276" s="576"/>
      <c r="BB276" s="577"/>
      <c r="BC276" s="1035"/>
      <c r="BD276" s="1038"/>
      <c r="BE276" s="277"/>
      <c r="BF276" s="278"/>
      <c r="BG276" s="175"/>
      <c r="BH276" s="175"/>
    </row>
    <row r="277" spans="1:61" s="168" customFormat="1" ht="30" customHeight="1" x14ac:dyDescent="0.25">
      <c r="A277" s="731"/>
      <c r="B277" s="664"/>
      <c r="C277" s="1013">
        <v>4</v>
      </c>
      <c r="D277" s="1033"/>
      <c r="E277" s="1015"/>
      <c r="F277" s="1018"/>
      <c r="G277" s="777"/>
      <c r="H277" s="915">
        <v>0.25</v>
      </c>
      <c r="I277" s="722" t="s">
        <v>481</v>
      </c>
      <c r="J277" s="776">
        <v>1</v>
      </c>
      <c r="K277" s="770" t="s">
        <v>482</v>
      </c>
      <c r="L277" s="770" t="s">
        <v>483</v>
      </c>
      <c r="M277" s="722" t="str">
        <f>CONCATENATE(U277,$U$32,U278)</f>
        <v xml:space="preserve">Encuentro Nacional Minero ejecutado  / Encuentro Nacional Minero programado </v>
      </c>
      <c r="N277" s="722" t="s">
        <v>465</v>
      </c>
      <c r="O277" s="736" t="s">
        <v>359</v>
      </c>
      <c r="P277" s="927">
        <v>0.15</v>
      </c>
      <c r="Q277" s="758">
        <v>1</v>
      </c>
      <c r="R277" s="758">
        <v>1</v>
      </c>
      <c r="S277" s="758">
        <v>1</v>
      </c>
      <c r="T277" s="764" t="s">
        <v>151</v>
      </c>
      <c r="U277" s="164" t="s">
        <v>484</v>
      </c>
      <c r="V277" s="275"/>
      <c r="W277" s="275"/>
      <c r="X277" s="250"/>
      <c r="Y277" s="250"/>
      <c r="Z277" s="130"/>
      <c r="AA277" s="130"/>
      <c r="AB277" s="130"/>
      <c r="AC277" s="130"/>
      <c r="AD277" s="1004">
        <f>+AE277+AF277+AG277</f>
        <v>430000000</v>
      </c>
      <c r="AE277" s="1007">
        <v>0</v>
      </c>
      <c r="AF277" s="1007">
        <v>430000000</v>
      </c>
      <c r="AG277" s="1007">
        <v>0</v>
      </c>
      <c r="AH277" s="736" t="s">
        <v>467</v>
      </c>
      <c r="AI277" s="713" t="s">
        <v>468</v>
      </c>
      <c r="AJ277" s="713" t="s">
        <v>94</v>
      </c>
      <c r="AK277" s="713"/>
      <c r="AL277" s="713"/>
      <c r="AM277" s="713" t="s">
        <v>94</v>
      </c>
      <c r="AN277" s="713"/>
      <c r="AO277" s="713"/>
      <c r="AP277" s="713" t="s">
        <v>94</v>
      </c>
      <c r="AQ277" s="713" t="s">
        <v>94</v>
      </c>
      <c r="AR277" s="713"/>
      <c r="AS277" s="713"/>
      <c r="AT277" s="276" t="s">
        <v>129</v>
      </c>
      <c r="AU277" s="197">
        <f t="shared" ref="AU277:BB277" si="233">+V279*$J$277</f>
        <v>0</v>
      </c>
      <c r="AV277" s="197">
        <f t="shared" si="233"/>
        <v>0</v>
      </c>
      <c r="AW277" s="197">
        <f t="shared" si="233"/>
        <v>0</v>
      </c>
      <c r="AX277" s="203">
        <f t="shared" si="233"/>
        <v>0</v>
      </c>
      <c r="AY277" s="197">
        <f t="shared" si="233"/>
        <v>0</v>
      </c>
      <c r="AZ277" s="197">
        <f t="shared" si="233"/>
        <v>0</v>
      </c>
      <c r="BA277" s="197">
        <f t="shared" si="233"/>
        <v>0</v>
      </c>
      <c r="BB277" s="203">
        <f t="shared" si="233"/>
        <v>0</v>
      </c>
      <c r="BC277" s="1035"/>
      <c r="BD277" s="1038"/>
      <c r="BE277" s="277"/>
      <c r="BF277" s="278"/>
      <c r="BG277" s="175"/>
      <c r="BH277" s="175"/>
    </row>
    <row r="278" spans="1:61" s="168" customFormat="1" ht="30" customHeight="1" x14ac:dyDescent="0.25">
      <c r="A278" s="731"/>
      <c r="B278" s="664"/>
      <c r="C278" s="1013"/>
      <c r="D278" s="1033"/>
      <c r="E278" s="1015"/>
      <c r="F278" s="1018"/>
      <c r="G278" s="777"/>
      <c r="H278" s="916"/>
      <c r="I278" s="723"/>
      <c r="J278" s="777"/>
      <c r="K278" s="771"/>
      <c r="L278" s="771"/>
      <c r="M278" s="723"/>
      <c r="N278" s="723"/>
      <c r="O278" s="737"/>
      <c r="P278" s="928"/>
      <c r="Q278" s="759"/>
      <c r="R278" s="759"/>
      <c r="S278" s="759"/>
      <c r="T278" s="765"/>
      <c r="U278" s="194" t="s">
        <v>485</v>
      </c>
      <c r="V278" s="219">
        <v>0.01</v>
      </c>
      <c r="W278" s="219">
        <v>0.01</v>
      </c>
      <c r="X278" s="219">
        <v>0.01</v>
      </c>
      <c r="Y278" s="279">
        <v>1</v>
      </c>
      <c r="Z278" s="219">
        <v>0.01</v>
      </c>
      <c r="AA278" s="219">
        <v>0.01</v>
      </c>
      <c r="AB278" s="219">
        <v>0.01</v>
      </c>
      <c r="AC278" s="279">
        <f>+Y278</f>
        <v>1</v>
      </c>
      <c r="AD278" s="1005"/>
      <c r="AE278" s="1008"/>
      <c r="AF278" s="1008"/>
      <c r="AG278" s="1008"/>
      <c r="AH278" s="737"/>
      <c r="AI278" s="714"/>
      <c r="AJ278" s="714"/>
      <c r="AK278" s="714"/>
      <c r="AL278" s="714"/>
      <c r="AM278" s="714"/>
      <c r="AN278" s="714"/>
      <c r="AO278" s="714"/>
      <c r="AP278" s="714"/>
      <c r="AQ278" s="714"/>
      <c r="AR278" s="714"/>
      <c r="AS278" s="714"/>
      <c r="AT278" s="276" t="s">
        <v>131</v>
      </c>
      <c r="AU278" s="203">
        <f>+AU277*$H$277</f>
        <v>0</v>
      </c>
      <c r="AV278" s="203">
        <f t="shared" ref="AV278:BB278" si="234">+AV277*$H$277</f>
        <v>0</v>
      </c>
      <c r="AW278" s="203">
        <f t="shared" si="234"/>
        <v>0</v>
      </c>
      <c r="AX278" s="203">
        <f t="shared" si="234"/>
        <v>0</v>
      </c>
      <c r="AY278" s="203">
        <f t="shared" si="234"/>
        <v>0</v>
      </c>
      <c r="AZ278" s="203">
        <f t="shared" si="234"/>
        <v>0</v>
      </c>
      <c r="BA278" s="203">
        <f t="shared" si="234"/>
        <v>0</v>
      </c>
      <c r="BB278" s="203">
        <f t="shared" si="234"/>
        <v>0</v>
      </c>
      <c r="BC278" s="1035"/>
      <c r="BD278" s="1038"/>
      <c r="BE278" s="277"/>
      <c r="BF278" s="278"/>
      <c r="BG278" s="175"/>
      <c r="BH278" s="175"/>
    </row>
    <row r="279" spans="1:61" s="168" customFormat="1" ht="24.95" customHeight="1" x14ac:dyDescent="0.25">
      <c r="A279" s="731"/>
      <c r="B279" s="664"/>
      <c r="C279" s="1013"/>
      <c r="D279" s="1033"/>
      <c r="E279" s="1015"/>
      <c r="F279" s="1018"/>
      <c r="G279" s="777"/>
      <c r="H279" s="917"/>
      <c r="I279" s="724"/>
      <c r="J279" s="778"/>
      <c r="K279" s="772"/>
      <c r="L279" s="772"/>
      <c r="M279" s="724"/>
      <c r="N279" s="724"/>
      <c r="O279" s="738"/>
      <c r="P279" s="929"/>
      <c r="Q279" s="760"/>
      <c r="R279" s="760"/>
      <c r="S279" s="760"/>
      <c r="T279" s="766"/>
      <c r="U279" s="170" t="s">
        <v>96</v>
      </c>
      <c r="V279" s="197">
        <f t="shared" ref="V279:AC279" si="235">IF((V277/V278)&lt;$I$8,(V277/V278),IF((V277/V278)&lt;$J$8,(V277/V278),IF((V277/V278)&lt;$J$9,(V277/V278),IF((V277/V278)&gt;=$J$9,$J$9))))</f>
        <v>0</v>
      </c>
      <c r="W279" s="197">
        <f t="shared" si="235"/>
        <v>0</v>
      </c>
      <c r="X279" s="197">
        <f t="shared" si="235"/>
        <v>0</v>
      </c>
      <c r="Y279" s="221">
        <f t="shared" si="235"/>
        <v>0</v>
      </c>
      <c r="Z279" s="197">
        <f t="shared" si="235"/>
        <v>0</v>
      </c>
      <c r="AA279" s="197">
        <f t="shared" si="235"/>
        <v>0</v>
      </c>
      <c r="AB279" s="197">
        <f t="shared" si="235"/>
        <v>0</v>
      </c>
      <c r="AC279" s="221">
        <f t="shared" si="235"/>
        <v>0</v>
      </c>
      <c r="AD279" s="1006"/>
      <c r="AE279" s="1009"/>
      <c r="AF279" s="1009"/>
      <c r="AG279" s="1009"/>
      <c r="AH279" s="738"/>
      <c r="AI279" s="715"/>
      <c r="AJ279" s="715"/>
      <c r="AK279" s="715"/>
      <c r="AL279" s="715"/>
      <c r="AM279" s="715"/>
      <c r="AN279" s="715"/>
      <c r="AO279" s="715"/>
      <c r="AP279" s="715"/>
      <c r="AQ279" s="715"/>
      <c r="AR279" s="715"/>
      <c r="AS279" s="715"/>
      <c r="AT279" s="276" t="s">
        <v>132</v>
      </c>
      <c r="AU279" s="575"/>
      <c r="AV279" s="576"/>
      <c r="AW279" s="576"/>
      <c r="AX279" s="576"/>
      <c r="AY279" s="576"/>
      <c r="AZ279" s="576"/>
      <c r="BA279" s="576"/>
      <c r="BB279" s="577"/>
      <c r="BC279" s="1035"/>
      <c r="BD279" s="1038"/>
      <c r="BE279" s="277"/>
      <c r="BF279" s="278"/>
      <c r="BG279" s="175"/>
      <c r="BH279" s="175"/>
    </row>
    <row r="280" spans="1:61" s="168" customFormat="1" ht="54.95" customHeight="1" x14ac:dyDescent="0.25">
      <c r="A280" s="280"/>
      <c r="B280" s="664"/>
      <c r="C280" s="1020">
        <v>5</v>
      </c>
      <c r="D280" s="1033"/>
      <c r="E280" s="1015"/>
      <c r="F280" s="1018"/>
      <c r="G280" s="777"/>
      <c r="H280" s="1027">
        <v>0.1</v>
      </c>
      <c r="I280" s="722" t="s">
        <v>486</v>
      </c>
      <c r="J280" s="776">
        <v>1</v>
      </c>
      <c r="K280" s="770" t="s">
        <v>487</v>
      </c>
      <c r="L280" s="770" t="s">
        <v>488</v>
      </c>
      <c r="M280" s="722" t="str">
        <f>CONCATENATE(U280,$U$32,U281)</f>
        <v>Actividades ejecutadas / Actividades programadas</v>
      </c>
      <c r="N280" s="722" t="s">
        <v>465</v>
      </c>
      <c r="O280" s="736" t="s">
        <v>359</v>
      </c>
      <c r="P280" s="927">
        <v>7.0000000000000007E-2</v>
      </c>
      <c r="Q280" s="758" t="s">
        <v>90</v>
      </c>
      <c r="R280" s="758">
        <v>1</v>
      </c>
      <c r="S280" s="915">
        <v>0.3</v>
      </c>
      <c r="T280" s="764" t="s">
        <v>151</v>
      </c>
      <c r="U280" s="164" t="s">
        <v>489</v>
      </c>
      <c r="V280" s="275"/>
      <c r="W280" s="275"/>
      <c r="X280" s="250"/>
      <c r="Y280" s="250"/>
      <c r="Z280" s="130"/>
      <c r="AA280" s="130"/>
      <c r="AB280" s="130"/>
      <c r="AC280" s="130"/>
      <c r="AD280" s="1004">
        <f>+AE280+AF280+AG280</f>
        <v>0</v>
      </c>
      <c r="AE280" s="1007">
        <v>0</v>
      </c>
      <c r="AF280" s="1007">
        <v>0</v>
      </c>
      <c r="AG280" s="1007">
        <v>0</v>
      </c>
      <c r="AH280" s="736" t="s">
        <v>467</v>
      </c>
      <c r="AI280" s="736" t="s">
        <v>468</v>
      </c>
      <c r="AJ280" s="713" t="s">
        <v>94</v>
      </c>
      <c r="AK280" s="1030"/>
      <c r="AL280" s="1030"/>
      <c r="AM280" s="713"/>
      <c r="AN280" s="713" t="s">
        <v>94</v>
      </c>
      <c r="AO280" s="713"/>
      <c r="AP280" s="713"/>
      <c r="AQ280" s="713" t="s">
        <v>94</v>
      </c>
      <c r="AR280" s="713"/>
      <c r="AS280" s="713"/>
      <c r="AT280" s="276" t="s">
        <v>129</v>
      </c>
      <c r="AU280" s="203">
        <f t="shared" ref="AU280:BB280" si="236">+V282*$J$280</f>
        <v>0</v>
      </c>
      <c r="AV280" s="203">
        <f t="shared" si="236"/>
        <v>0</v>
      </c>
      <c r="AW280" s="203">
        <f t="shared" si="236"/>
        <v>0</v>
      </c>
      <c r="AX280" s="203">
        <f t="shared" si="236"/>
        <v>0</v>
      </c>
      <c r="AY280" s="203">
        <f t="shared" si="236"/>
        <v>0</v>
      </c>
      <c r="AZ280" s="203">
        <f t="shared" si="236"/>
        <v>0</v>
      </c>
      <c r="BA280" s="203">
        <f t="shared" si="236"/>
        <v>0</v>
      </c>
      <c r="BB280" s="203">
        <f t="shared" si="236"/>
        <v>0</v>
      </c>
      <c r="BC280" s="1035"/>
      <c r="BD280" s="1038"/>
      <c r="BE280" s="277"/>
      <c r="BF280" s="278"/>
      <c r="BG280" s="175"/>
      <c r="BH280" s="175"/>
    </row>
    <row r="281" spans="1:61" s="168" customFormat="1" ht="54.95" customHeight="1" x14ac:dyDescent="0.25">
      <c r="A281" s="280"/>
      <c r="B281" s="664"/>
      <c r="C281" s="1020"/>
      <c r="D281" s="1033"/>
      <c r="E281" s="1015"/>
      <c r="F281" s="1018"/>
      <c r="G281" s="777"/>
      <c r="H281" s="1028"/>
      <c r="I281" s="723"/>
      <c r="J281" s="777"/>
      <c r="K281" s="771"/>
      <c r="L281" s="771"/>
      <c r="M281" s="723"/>
      <c r="N281" s="723"/>
      <c r="O281" s="737"/>
      <c r="P281" s="928"/>
      <c r="Q281" s="759"/>
      <c r="R281" s="759"/>
      <c r="S281" s="916"/>
      <c r="T281" s="765"/>
      <c r="U281" s="194" t="s">
        <v>490</v>
      </c>
      <c r="V281" s="170">
        <v>10</v>
      </c>
      <c r="W281" s="170">
        <v>10</v>
      </c>
      <c r="X281" s="170">
        <v>5</v>
      </c>
      <c r="Y281" s="170">
        <v>5</v>
      </c>
      <c r="Z281" s="170">
        <v>10</v>
      </c>
      <c r="AA281" s="170">
        <v>20</v>
      </c>
      <c r="AB281" s="170">
        <v>25</v>
      </c>
      <c r="AC281" s="170">
        <v>30</v>
      </c>
      <c r="AD281" s="1005"/>
      <c r="AE281" s="1008"/>
      <c r="AF281" s="1008"/>
      <c r="AG281" s="1008"/>
      <c r="AH281" s="737"/>
      <c r="AI281" s="737"/>
      <c r="AJ281" s="714"/>
      <c r="AK281" s="1031"/>
      <c r="AL281" s="1031"/>
      <c r="AM281" s="714"/>
      <c r="AN281" s="714"/>
      <c r="AO281" s="714"/>
      <c r="AP281" s="714"/>
      <c r="AQ281" s="714"/>
      <c r="AR281" s="714"/>
      <c r="AS281" s="714"/>
      <c r="AT281" s="276" t="s">
        <v>131</v>
      </c>
      <c r="AU281" s="203">
        <f>+AU280*$H$280</f>
        <v>0</v>
      </c>
      <c r="AV281" s="203">
        <f t="shared" ref="AV281:BB281" si="237">+AV280*$H$280</f>
        <v>0</v>
      </c>
      <c r="AW281" s="203">
        <f t="shared" si="237"/>
        <v>0</v>
      </c>
      <c r="AX281" s="203">
        <f t="shared" si="237"/>
        <v>0</v>
      </c>
      <c r="AY281" s="203">
        <f t="shared" si="237"/>
        <v>0</v>
      </c>
      <c r="AZ281" s="203">
        <f t="shared" si="237"/>
        <v>0</v>
      </c>
      <c r="BA281" s="203">
        <f t="shared" si="237"/>
        <v>0</v>
      </c>
      <c r="BB281" s="203">
        <f t="shared" si="237"/>
        <v>0</v>
      </c>
      <c r="BC281" s="1035"/>
      <c r="BD281" s="1038"/>
      <c r="BE281" s="277"/>
      <c r="BF281" s="278"/>
      <c r="BG281" s="175"/>
      <c r="BH281" s="175"/>
    </row>
    <row r="282" spans="1:61" s="168" customFormat="1" ht="24.95" customHeight="1" x14ac:dyDescent="0.25">
      <c r="A282" s="280"/>
      <c r="B282" s="664"/>
      <c r="C282" s="1020"/>
      <c r="D282" s="1033"/>
      <c r="E282" s="1015"/>
      <c r="F282" s="1018"/>
      <c r="G282" s="777"/>
      <c r="H282" s="1029"/>
      <c r="I282" s="724"/>
      <c r="J282" s="778"/>
      <c r="K282" s="772"/>
      <c r="L282" s="772"/>
      <c r="M282" s="724"/>
      <c r="N282" s="724"/>
      <c r="O282" s="738"/>
      <c r="P282" s="929"/>
      <c r="Q282" s="760"/>
      <c r="R282" s="760"/>
      <c r="S282" s="917"/>
      <c r="T282" s="766"/>
      <c r="U282" s="170" t="s">
        <v>96</v>
      </c>
      <c r="V282" s="221">
        <f t="shared" ref="V282:AC282" si="238">IF((V280/V281)&lt;$I$8,(V280/V281),IF((V280/V281)&lt;$J$8,(V280/V281),IF((V280/V281)&lt;$J$9,(V280/V281),IF((V280/V281)&gt;=$J$9,$J$9))))</f>
        <v>0</v>
      </c>
      <c r="W282" s="221">
        <f t="shared" si="238"/>
        <v>0</v>
      </c>
      <c r="X282" s="221">
        <f t="shared" si="238"/>
        <v>0</v>
      </c>
      <c r="Y282" s="221">
        <f t="shared" si="238"/>
        <v>0</v>
      </c>
      <c r="Z282" s="221">
        <f t="shared" si="238"/>
        <v>0</v>
      </c>
      <c r="AA282" s="221">
        <f t="shared" si="238"/>
        <v>0</v>
      </c>
      <c r="AB282" s="221">
        <f t="shared" si="238"/>
        <v>0</v>
      </c>
      <c r="AC282" s="221">
        <f t="shared" si="238"/>
        <v>0</v>
      </c>
      <c r="AD282" s="1006"/>
      <c r="AE282" s="1009"/>
      <c r="AF282" s="1009"/>
      <c r="AG282" s="1009"/>
      <c r="AH282" s="738"/>
      <c r="AI282" s="738"/>
      <c r="AJ282" s="715"/>
      <c r="AK282" s="1032"/>
      <c r="AL282" s="1032"/>
      <c r="AM282" s="715"/>
      <c r="AN282" s="715"/>
      <c r="AO282" s="715"/>
      <c r="AP282" s="715"/>
      <c r="AQ282" s="715"/>
      <c r="AR282" s="715"/>
      <c r="AS282" s="715"/>
      <c r="AT282" s="276" t="s">
        <v>132</v>
      </c>
      <c r="AU282" s="575"/>
      <c r="AV282" s="576"/>
      <c r="AW282" s="576"/>
      <c r="AX282" s="576"/>
      <c r="AY282" s="576"/>
      <c r="AZ282" s="576"/>
      <c r="BA282" s="576"/>
      <c r="BB282" s="577"/>
      <c r="BC282" s="1035"/>
      <c r="BD282" s="1038"/>
      <c r="BE282" s="277"/>
      <c r="BF282" s="278"/>
      <c r="BG282" s="175"/>
      <c r="BH282" s="175"/>
    </row>
    <row r="283" spans="1:61" s="168" customFormat="1" ht="30" customHeight="1" x14ac:dyDescent="0.25">
      <c r="A283" s="668" t="s">
        <v>230</v>
      </c>
      <c r="B283" s="800"/>
      <c r="C283" s="1020">
        <v>6</v>
      </c>
      <c r="D283" s="1033"/>
      <c r="E283" s="1015"/>
      <c r="F283" s="1018"/>
      <c r="G283" s="777"/>
      <c r="H283" s="915">
        <v>0.05</v>
      </c>
      <c r="I283" s="722" t="s">
        <v>491</v>
      </c>
      <c r="J283" s="776">
        <v>1</v>
      </c>
      <c r="K283" s="785" t="s">
        <v>492</v>
      </c>
      <c r="L283" s="722" t="s">
        <v>493</v>
      </c>
      <c r="M283" s="722" t="s">
        <v>494</v>
      </c>
      <c r="N283" s="722" t="s">
        <v>465</v>
      </c>
      <c r="O283" s="722" t="s">
        <v>359</v>
      </c>
      <c r="P283" s="927">
        <v>0.08</v>
      </c>
      <c r="Q283" s="758" t="s">
        <v>90</v>
      </c>
      <c r="R283" s="758" t="s">
        <v>90</v>
      </c>
      <c r="S283" s="915">
        <v>0.5</v>
      </c>
      <c r="T283" s="764" t="s">
        <v>151</v>
      </c>
      <c r="U283" s="164" t="s">
        <v>495</v>
      </c>
      <c r="V283" s="281"/>
      <c r="W283" s="281"/>
      <c r="X283" s="135"/>
      <c r="Y283" s="135"/>
      <c r="Z283" s="136"/>
      <c r="AA283" s="136"/>
      <c r="AB283" s="136"/>
      <c r="AC283" s="136"/>
      <c r="AD283" s="1004">
        <f>+AE283+AF283+AG283</f>
        <v>0</v>
      </c>
      <c r="AE283" s="1007">
        <v>0</v>
      </c>
      <c r="AF283" s="1007">
        <v>0</v>
      </c>
      <c r="AG283" s="1007">
        <v>0</v>
      </c>
      <c r="AH283" s="736" t="s">
        <v>467</v>
      </c>
      <c r="AI283" s="713" t="s">
        <v>468</v>
      </c>
      <c r="AJ283" s="713" t="s">
        <v>94</v>
      </c>
      <c r="AK283" s="713"/>
      <c r="AL283" s="713"/>
      <c r="AM283" s="713"/>
      <c r="AN283" s="736" t="s">
        <v>94</v>
      </c>
      <c r="AO283" s="713"/>
      <c r="AP283" s="713"/>
      <c r="AQ283" s="736" t="s">
        <v>94</v>
      </c>
      <c r="AR283" s="713"/>
      <c r="AS283" s="713"/>
      <c r="AT283" s="276" t="s">
        <v>129</v>
      </c>
      <c r="AU283" s="203">
        <f t="shared" ref="AU283:BB283" si="239">+V285*$J$283</f>
        <v>0</v>
      </c>
      <c r="AV283" s="203">
        <f t="shared" si="239"/>
        <v>0</v>
      </c>
      <c r="AW283" s="203">
        <f t="shared" si="239"/>
        <v>0</v>
      </c>
      <c r="AX283" s="203">
        <f t="shared" si="239"/>
        <v>0</v>
      </c>
      <c r="AY283" s="203">
        <f t="shared" si="239"/>
        <v>0</v>
      </c>
      <c r="AZ283" s="203">
        <f t="shared" si="239"/>
        <v>0</v>
      </c>
      <c r="BA283" s="203">
        <f t="shared" si="239"/>
        <v>0</v>
      </c>
      <c r="BB283" s="203">
        <f t="shared" si="239"/>
        <v>0</v>
      </c>
      <c r="BC283" s="1035"/>
      <c r="BD283" s="1038"/>
      <c r="BE283" s="277"/>
      <c r="BF283" s="278"/>
      <c r="BG283" s="175"/>
      <c r="BH283" s="175"/>
    </row>
    <row r="284" spans="1:61" s="168" customFormat="1" ht="30" customHeight="1" x14ac:dyDescent="0.25">
      <c r="A284" s="668"/>
      <c r="B284" s="800"/>
      <c r="C284" s="1020"/>
      <c r="D284" s="1033"/>
      <c r="E284" s="1015"/>
      <c r="F284" s="1018"/>
      <c r="G284" s="777"/>
      <c r="H284" s="916"/>
      <c r="I284" s="723"/>
      <c r="J284" s="777"/>
      <c r="K284" s="786"/>
      <c r="L284" s="723"/>
      <c r="M284" s="723"/>
      <c r="N284" s="723"/>
      <c r="O284" s="723"/>
      <c r="P284" s="928"/>
      <c r="Q284" s="759"/>
      <c r="R284" s="759"/>
      <c r="S284" s="723"/>
      <c r="T284" s="765"/>
      <c r="U284" s="224" t="s">
        <v>496</v>
      </c>
      <c r="V284" s="228">
        <v>0.35</v>
      </c>
      <c r="W284" s="228">
        <v>0.6</v>
      </c>
      <c r="X284" s="282">
        <v>0.5</v>
      </c>
      <c r="Y284" s="282">
        <v>0.5</v>
      </c>
      <c r="Z284" s="283">
        <f>+V284</f>
        <v>0.35</v>
      </c>
      <c r="AA284" s="283">
        <f>AVERAGE(V284:W284)</f>
        <v>0.47499999999999998</v>
      </c>
      <c r="AB284" s="283">
        <f>AVERAGE(V284:X284)</f>
        <v>0.48333333333333334</v>
      </c>
      <c r="AC284" s="283">
        <v>0.5</v>
      </c>
      <c r="AD284" s="1005"/>
      <c r="AE284" s="1008"/>
      <c r="AF284" s="1008"/>
      <c r="AG284" s="1008"/>
      <c r="AH284" s="737"/>
      <c r="AI284" s="714"/>
      <c r="AJ284" s="714"/>
      <c r="AK284" s="714"/>
      <c r="AL284" s="714"/>
      <c r="AM284" s="714"/>
      <c r="AN284" s="737"/>
      <c r="AO284" s="714"/>
      <c r="AP284" s="714"/>
      <c r="AQ284" s="737"/>
      <c r="AR284" s="714"/>
      <c r="AS284" s="714"/>
      <c r="AT284" s="276" t="s">
        <v>131</v>
      </c>
      <c r="AU284" s="203">
        <f>+AU283*$H$283</f>
        <v>0</v>
      </c>
      <c r="AV284" s="203">
        <f t="shared" ref="AV284:BB284" si="240">+AV283*$H$280</f>
        <v>0</v>
      </c>
      <c r="AW284" s="203">
        <f t="shared" si="240"/>
        <v>0</v>
      </c>
      <c r="AX284" s="203">
        <f t="shared" si="240"/>
        <v>0</v>
      </c>
      <c r="AY284" s="203">
        <f t="shared" si="240"/>
        <v>0</v>
      </c>
      <c r="AZ284" s="203">
        <f t="shared" si="240"/>
        <v>0</v>
      </c>
      <c r="BA284" s="203">
        <f t="shared" si="240"/>
        <v>0</v>
      </c>
      <c r="BB284" s="203">
        <f t="shared" si="240"/>
        <v>0</v>
      </c>
      <c r="BC284" s="1035"/>
      <c r="BD284" s="1038"/>
      <c r="BE284" s="277"/>
      <c r="BF284" s="278"/>
      <c r="BG284" s="175"/>
      <c r="BH284" s="175"/>
    </row>
    <row r="285" spans="1:61" s="168" customFormat="1" ht="24.95" customHeight="1" x14ac:dyDescent="0.25">
      <c r="A285" s="668"/>
      <c r="B285" s="800"/>
      <c r="C285" s="1020"/>
      <c r="D285" s="1033"/>
      <c r="E285" s="1015"/>
      <c r="F285" s="1018"/>
      <c r="G285" s="777"/>
      <c r="H285" s="917"/>
      <c r="I285" s="724"/>
      <c r="J285" s="778"/>
      <c r="K285" s="787"/>
      <c r="L285" s="724"/>
      <c r="M285" s="724"/>
      <c r="N285" s="724"/>
      <c r="O285" s="724"/>
      <c r="P285" s="929"/>
      <c r="Q285" s="760"/>
      <c r="R285" s="760"/>
      <c r="S285" s="724"/>
      <c r="T285" s="766"/>
      <c r="U285" s="170" t="s">
        <v>96</v>
      </c>
      <c r="V285" s="221">
        <f t="shared" ref="V285:AC285" si="241">IF((V283/V284)&lt;$I$8,(V283/V284),IF((V283/V284)&lt;$J$8,(V283/V284),IF((V283/V284)&lt;$J$9,(V283/V284),IF((V283/V284)&gt;=$J$9,$J$9))))</f>
        <v>0</v>
      </c>
      <c r="W285" s="221">
        <f t="shared" si="241"/>
        <v>0</v>
      </c>
      <c r="X285" s="221">
        <f t="shared" si="241"/>
        <v>0</v>
      </c>
      <c r="Y285" s="221">
        <f t="shared" si="241"/>
        <v>0</v>
      </c>
      <c r="Z285" s="221">
        <f t="shared" si="241"/>
        <v>0</v>
      </c>
      <c r="AA285" s="221">
        <f t="shared" si="241"/>
        <v>0</v>
      </c>
      <c r="AB285" s="221">
        <f t="shared" si="241"/>
        <v>0</v>
      </c>
      <c r="AC285" s="221">
        <f t="shared" si="241"/>
        <v>0</v>
      </c>
      <c r="AD285" s="1006"/>
      <c r="AE285" s="1009"/>
      <c r="AF285" s="1009"/>
      <c r="AG285" s="1009"/>
      <c r="AH285" s="738"/>
      <c r="AI285" s="715"/>
      <c r="AJ285" s="715"/>
      <c r="AK285" s="715"/>
      <c r="AL285" s="715"/>
      <c r="AM285" s="715"/>
      <c r="AN285" s="738"/>
      <c r="AO285" s="715"/>
      <c r="AP285" s="715"/>
      <c r="AQ285" s="738"/>
      <c r="AR285" s="715"/>
      <c r="AS285" s="715"/>
      <c r="AT285" s="276" t="s">
        <v>132</v>
      </c>
      <c r="AU285" s="575"/>
      <c r="AV285" s="576"/>
      <c r="AW285" s="576"/>
      <c r="AX285" s="576"/>
      <c r="AY285" s="576"/>
      <c r="AZ285" s="576"/>
      <c r="BA285" s="576"/>
      <c r="BB285" s="577"/>
      <c r="BC285" s="1035"/>
      <c r="BD285" s="1038"/>
      <c r="BE285" s="277"/>
      <c r="BF285" s="278"/>
      <c r="BG285" s="175"/>
      <c r="BH285" s="175"/>
    </row>
    <row r="286" spans="1:61" s="284" customFormat="1" ht="30" customHeight="1" x14ac:dyDescent="0.25">
      <c r="A286" s="731"/>
      <c r="B286" s="800"/>
      <c r="C286" s="1020">
        <v>7</v>
      </c>
      <c r="D286" s="1033"/>
      <c r="E286" s="1015"/>
      <c r="F286" s="1018"/>
      <c r="G286" s="777"/>
      <c r="H286" s="1027">
        <v>0.15</v>
      </c>
      <c r="I286" s="722" t="s">
        <v>497</v>
      </c>
      <c r="J286" s="776">
        <v>1</v>
      </c>
      <c r="K286" s="785" t="s">
        <v>498</v>
      </c>
      <c r="L286" s="722" t="s">
        <v>499</v>
      </c>
      <c r="M286" s="722" t="s">
        <v>500</v>
      </c>
      <c r="N286" s="722" t="s">
        <v>465</v>
      </c>
      <c r="O286" s="722" t="s">
        <v>89</v>
      </c>
      <c r="P286" s="927">
        <v>0.15</v>
      </c>
      <c r="Q286" s="758" t="s">
        <v>90</v>
      </c>
      <c r="R286" s="758" t="s">
        <v>90</v>
      </c>
      <c r="S286" s="722" t="s">
        <v>90</v>
      </c>
      <c r="T286" s="764" t="s">
        <v>151</v>
      </c>
      <c r="U286" s="164" t="s">
        <v>501</v>
      </c>
      <c r="V286" s="281"/>
      <c r="W286" s="281"/>
      <c r="X286" s="250"/>
      <c r="Y286" s="250"/>
      <c r="Z286" s="136"/>
      <c r="AA286" s="136"/>
      <c r="AB286" s="136"/>
      <c r="AC286" s="136"/>
      <c r="AD286" s="1004">
        <f>+AE286+AF286+AG286</f>
        <v>0</v>
      </c>
      <c r="AE286" s="1007">
        <v>0</v>
      </c>
      <c r="AF286" s="1007">
        <v>0</v>
      </c>
      <c r="AG286" s="1007">
        <v>0</v>
      </c>
      <c r="AH286" s="736" t="s">
        <v>467</v>
      </c>
      <c r="AI286" s="713" t="s">
        <v>502</v>
      </c>
      <c r="AJ286" s="713" t="s">
        <v>94</v>
      </c>
      <c r="AK286" s="713"/>
      <c r="AL286" s="713"/>
      <c r="AM286" s="713"/>
      <c r="AN286" s="713"/>
      <c r="AO286" s="736" t="s">
        <v>94</v>
      </c>
      <c r="AP286" s="736"/>
      <c r="AQ286" s="736" t="s">
        <v>94</v>
      </c>
      <c r="AR286" s="713"/>
      <c r="AS286" s="713"/>
      <c r="AT286" s="276" t="s">
        <v>129</v>
      </c>
      <c r="AU286" s="203">
        <f t="shared" ref="AU286:BB286" si="242">+V288*$J$286</f>
        <v>0</v>
      </c>
      <c r="AV286" s="203">
        <f t="shared" si="242"/>
        <v>0</v>
      </c>
      <c r="AW286" s="203">
        <f t="shared" si="242"/>
        <v>0</v>
      </c>
      <c r="AX286" s="203">
        <f t="shared" si="242"/>
        <v>0</v>
      </c>
      <c r="AY286" s="203">
        <f t="shared" si="242"/>
        <v>0</v>
      </c>
      <c r="AZ286" s="203">
        <f t="shared" si="242"/>
        <v>0</v>
      </c>
      <c r="BA286" s="203">
        <f t="shared" si="242"/>
        <v>0</v>
      </c>
      <c r="BB286" s="203">
        <f t="shared" si="242"/>
        <v>0</v>
      </c>
      <c r="BC286" s="1035"/>
      <c r="BD286" s="1038"/>
      <c r="BE286" s="277"/>
      <c r="BF286" s="278"/>
      <c r="BG286" s="175"/>
      <c r="BH286" s="175"/>
      <c r="BI286" s="168"/>
    </row>
    <row r="287" spans="1:61" s="284" customFormat="1" ht="30" customHeight="1" x14ac:dyDescent="0.25">
      <c r="A287" s="731"/>
      <c r="B287" s="800"/>
      <c r="C287" s="1020"/>
      <c r="D287" s="1033"/>
      <c r="E287" s="1015"/>
      <c r="F287" s="1018"/>
      <c r="G287" s="777"/>
      <c r="H287" s="1028"/>
      <c r="I287" s="723"/>
      <c r="J287" s="777"/>
      <c r="K287" s="786"/>
      <c r="L287" s="723"/>
      <c r="M287" s="723"/>
      <c r="N287" s="723"/>
      <c r="O287" s="723"/>
      <c r="P287" s="928"/>
      <c r="Q287" s="759"/>
      <c r="R287" s="759"/>
      <c r="S287" s="723"/>
      <c r="T287" s="765"/>
      <c r="U287" s="194" t="s">
        <v>503</v>
      </c>
      <c r="V287" s="228">
        <v>0.25</v>
      </c>
      <c r="W287" s="228">
        <v>0.25</v>
      </c>
      <c r="X287" s="228">
        <v>0.25</v>
      </c>
      <c r="Y287" s="228">
        <v>0.25</v>
      </c>
      <c r="Z287" s="285">
        <f>+V287</f>
        <v>0.25</v>
      </c>
      <c r="AA287" s="285">
        <f>+V287+W287</f>
        <v>0.5</v>
      </c>
      <c r="AB287" s="285">
        <f>+V287+W287+X287</f>
        <v>0.75</v>
      </c>
      <c r="AC287" s="285">
        <f>+V287+W287+X287+Y287</f>
        <v>1</v>
      </c>
      <c r="AD287" s="1005"/>
      <c r="AE287" s="1008"/>
      <c r="AF287" s="1008"/>
      <c r="AG287" s="1008"/>
      <c r="AH287" s="737"/>
      <c r="AI287" s="714"/>
      <c r="AJ287" s="714"/>
      <c r="AK287" s="714"/>
      <c r="AL287" s="714"/>
      <c r="AM287" s="714"/>
      <c r="AN287" s="714"/>
      <c r="AO287" s="737"/>
      <c r="AP287" s="737"/>
      <c r="AQ287" s="737"/>
      <c r="AR287" s="714"/>
      <c r="AS287" s="714"/>
      <c r="AT287" s="276" t="s">
        <v>131</v>
      </c>
      <c r="AU287" s="203">
        <f>+AU286*$H$286</f>
        <v>0</v>
      </c>
      <c r="AV287" s="203">
        <f t="shared" ref="AV287:BB287" si="243">+AV286*$H$286</f>
        <v>0</v>
      </c>
      <c r="AW287" s="203">
        <f t="shared" si="243"/>
        <v>0</v>
      </c>
      <c r="AX287" s="203">
        <f t="shared" si="243"/>
        <v>0</v>
      </c>
      <c r="AY287" s="203">
        <f t="shared" si="243"/>
        <v>0</v>
      </c>
      <c r="AZ287" s="203">
        <f t="shared" si="243"/>
        <v>0</v>
      </c>
      <c r="BA287" s="203">
        <f t="shared" si="243"/>
        <v>0</v>
      </c>
      <c r="BB287" s="203">
        <f t="shared" si="243"/>
        <v>0</v>
      </c>
      <c r="BC287" s="1035"/>
      <c r="BD287" s="1038"/>
      <c r="BE287" s="277"/>
      <c r="BF287" s="278"/>
      <c r="BG287" s="175"/>
      <c r="BH287" s="175"/>
      <c r="BI287" s="168"/>
    </row>
    <row r="288" spans="1:61" s="284" customFormat="1" ht="24.95" customHeight="1" x14ac:dyDescent="0.25">
      <c r="A288" s="731"/>
      <c r="B288" s="800"/>
      <c r="C288" s="1020"/>
      <c r="D288" s="1033"/>
      <c r="E288" s="1016"/>
      <c r="F288" s="1019"/>
      <c r="G288" s="777"/>
      <c r="H288" s="1029"/>
      <c r="I288" s="724"/>
      <c r="J288" s="778"/>
      <c r="K288" s="787"/>
      <c r="L288" s="724"/>
      <c r="M288" s="724"/>
      <c r="N288" s="724"/>
      <c r="O288" s="724"/>
      <c r="P288" s="929"/>
      <c r="Q288" s="760"/>
      <c r="R288" s="760"/>
      <c r="S288" s="724"/>
      <c r="T288" s="766"/>
      <c r="U288" s="170" t="s">
        <v>96</v>
      </c>
      <c r="V288" s="221">
        <f t="shared" ref="V288:AC288" si="244">IF((V286/V287)&lt;$I$8,(V286/V287),IF((V286/V287)&lt;$J$8,(V286/V287),IF((V286/V287)&lt;$J$9,(V286/V287),IF((V286/V287)&gt;=$J$9,$J$9))))</f>
        <v>0</v>
      </c>
      <c r="W288" s="221">
        <f t="shared" si="244"/>
        <v>0</v>
      </c>
      <c r="X288" s="221">
        <f t="shared" si="244"/>
        <v>0</v>
      </c>
      <c r="Y288" s="221">
        <f t="shared" si="244"/>
        <v>0</v>
      </c>
      <c r="Z288" s="221">
        <f t="shared" si="244"/>
        <v>0</v>
      </c>
      <c r="AA288" s="221">
        <f t="shared" si="244"/>
        <v>0</v>
      </c>
      <c r="AB288" s="221">
        <f t="shared" si="244"/>
        <v>0</v>
      </c>
      <c r="AC288" s="221">
        <f t="shared" si="244"/>
        <v>0</v>
      </c>
      <c r="AD288" s="1006"/>
      <c r="AE288" s="1009"/>
      <c r="AF288" s="1009"/>
      <c r="AG288" s="1009"/>
      <c r="AH288" s="738"/>
      <c r="AI288" s="715"/>
      <c r="AJ288" s="715"/>
      <c r="AK288" s="715"/>
      <c r="AL288" s="715"/>
      <c r="AM288" s="715"/>
      <c r="AN288" s="715"/>
      <c r="AO288" s="738"/>
      <c r="AP288" s="738"/>
      <c r="AQ288" s="738"/>
      <c r="AR288" s="715"/>
      <c r="AS288" s="715"/>
      <c r="AT288" s="276" t="s">
        <v>132</v>
      </c>
      <c r="AU288" s="575"/>
      <c r="AV288" s="576"/>
      <c r="AW288" s="576"/>
      <c r="AX288" s="576"/>
      <c r="AY288" s="576"/>
      <c r="AZ288" s="576"/>
      <c r="BA288" s="576"/>
      <c r="BB288" s="577"/>
      <c r="BC288" s="1036"/>
      <c r="BD288" s="1038"/>
      <c r="BE288" s="277"/>
      <c r="BF288" s="278"/>
      <c r="BG288" s="175"/>
      <c r="BH288" s="175"/>
      <c r="BI288" s="168"/>
    </row>
    <row r="289" spans="1:61" s="284" customFormat="1" ht="35.1" customHeight="1" x14ac:dyDescent="0.25">
      <c r="A289" s="731"/>
      <c r="B289" s="664"/>
      <c r="C289" s="1020">
        <v>8</v>
      </c>
      <c r="D289" s="1033"/>
      <c r="E289" s="1014" t="s">
        <v>120</v>
      </c>
      <c r="F289" s="1017">
        <v>0.04</v>
      </c>
      <c r="G289" s="777"/>
      <c r="H289" s="1027">
        <v>0.75</v>
      </c>
      <c r="I289" s="722" t="s">
        <v>337</v>
      </c>
      <c r="J289" s="776">
        <v>1</v>
      </c>
      <c r="K289" s="830" t="s">
        <v>504</v>
      </c>
      <c r="L289" s="770" t="s">
        <v>505</v>
      </c>
      <c r="M289" s="722" t="s">
        <v>506</v>
      </c>
      <c r="N289" s="722" t="s">
        <v>465</v>
      </c>
      <c r="O289" s="722" t="s">
        <v>89</v>
      </c>
      <c r="P289" s="758">
        <v>0.08</v>
      </c>
      <c r="Q289" s="758">
        <v>1</v>
      </c>
      <c r="R289" s="758">
        <v>1</v>
      </c>
      <c r="S289" s="758">
        <v>1</v>
      </c>
      <c r="T289" s="764" t="s">
        <v>151</v>
      </c>
      <c r="U289" s="164" t="s">
        <v>507</v>
      </c>
      <c r="V289" s="281"/>
      <c r="W289" s="281"/>
      <c r="X289" s="135"/>
      <c r="Y289" s="135"/>
      <c r="Z289" s="136"/>
      <c r="AA289" s="136"/>
      <c r="AB289" s="136"/>
      <c r="AC289" s="136"/>
      <c r="AD289" s="1004">
        <f>+AE289+AF289+AG289</f>
        <v>0</v>
      </c>
      <c r="AE289" s="1007">
        <v>0</v>
      </c>
      <c r="AF289" s="1007">
        <v>0</v>
      </c>
      <c r="AG289" s="1007">
        <v>0</v>
      </c>
      <c r="AH289" s="736" t="s">
        <v>467</v>
      </c>
      <c r="AI289" s="736" t="s">
        <v>468</v>
      </c>
      <c r="AJ289" s="713" t="s">
        <v>94</v>
      </c>
      <c r="AK289" s="713"/>
      <c r="AL289" s="713"/>
      <c r="AM289" s="713"/>
      <c r="AN289" s="713"/>
      <c r="AO289" s="713"/>
      <c r="AP289" s="713" t="s">
        <v>94</v>
      </c>
      <c r="AQ289" s="1024"/>
      <c r="AR289" s="713"/>
      <c r="AS289" s="713" t="s">
        <v>94</v>
      </c>
      <c r="AT289" s="276" t="s">
        <v>129</v>
      </c>
      <c r="AU289" s="203">
        <f t="shared" ref="AU289:BB289" si="245">+V291*$J$289</f>
        <v>0</v>
      </c>
      <c r="AV289" s="203">
        <f t="shared" si="245"/>
        <v>0</v>
      </c>
      <c r="AW289" s="203">
        <f t="shared" si="245"/>
        <v>0</v>
      </c>
      <c r="AX289" s="203">
        <f t="shared" si="245"/>
        <v>0</v>
      </c>
      <c r="AY289" s="203">
        <f t="shared" si="245"/>
        <v>0</v>
      </c>
      <c r="AZ289" s="203">
        <f t="shared" si="245"/>
        <v>0</v>
      </c>
      <c r="BA289" s="203">
        <f t="shared" si="245"/>
        <v>0</v>
      </c>
      <c r="BB289" s="203">
        <f t="shared" si="245"/>
        <v>0</v>
      </c>
      <c r="BC289" s="596">
        <f>+BB291</f>
        <v>0</v>
      </c>
      <c r="BD289" s="1038"/>
      <c r="BE289" s="277"/>
      <c r="BF289" s="278"/>
      <c r="BG289" s="175"/>
      <c r="BH289" s="175"/>
      <c r="BI289" s="168"/>
    </row>
    <row r="290" spans="1:61" s="284" customFormat="1" ht="35.1" customHeight="1" thickBot="1" x14ac:dyDescent="0.3">
      <c r="A290" s="731"/>
      <c r="B290" s="664"/>
      <c r="C290" s="1020"/>
      <c r="D290" s="1033"/>
      <c r="E290" s="1015"/>
      <c r="F290" s="1018"/>
      <c r="G290" s="777"/>
      <c r="H290" s="1028"/>
      <c r="I290" s="723"/>
      <c r="J290" s="777"/>
      <c r="K290" s="831"/>
      <c r="L290" s="771"/>
      <c r="M290" s="723"/>
      <c r="N290" s="723"/>
      <c r="O290" s="723"/>
      <c r="P290" s="759"/>
      <c r="Q290" s="759"/>
      <c r="R290" s="759"/>
      <c r="S290" s="759"/>
      <c r="T290" s="765"/>
      <c r="U290" s="224" t="s">
        <v>508</v>
      </c>
      <c r="V290" s="228">
        <v>0.25</v>
      </c>
      <c r="W290" s="228">
        <v>0.25</v>
      </c>
      <c r="X290" s="228">
        <v>0.25</v>
      </c>
      <c r="Y290" s="228">
        <v>0.25</v>
      </c>
      <c r="Z290" s="228">
        <f>+V290</f>
        <v>0.25</v>
      </c>
      <c r="AA290" s="228">
        <f>+V290+W290</f>
        <v>0.5</v>
      </c>
      <c r="AB290" s="228">
        <f>+V290+W290+X290</f>
        <v>0.75</v>
      </c>
      <c r="AC290" s="228">
        <f>+V290+W290+X290+Y290</f>
        <v>1</v>
      </c>
      <c r="AD290" s="1005"/>
      <c r="AE290" s="1008"/>
      <c r="AF290" s="1008"/>
      <c r="AG290" s="1008"/>
      <c r="AH290" s="737"/>
      <c r="AI290" s="737"/>
      <c r="AJ290" s="714"/>
      <c r="AK290" s="714"/>
      <c r="AL290" s="714"/>
      <c r="AM290" s="714"/>
      <c r="AN290" s="714"/>
      <c r="AO290" s="714"/>
      <c r="AP290" s="714"/>
      <c r="AQ290" s="1025"/>
      <c r="AR290" s="714"/>
      <c r="AS290" s="714"/>
      <c r="AT290" s="276" t="s">
        <v>131</v>
      </c>
      <c r="AU290" s="203">
        <f>+AU289*$H$289</f>
        <v>0</v>
      </c>
      <c r="AV290" s="203">
        <f t="shared" ref="AV290:BB290" si="246">+AV289*$H$289</f>
        <v>0</v>
      </c>
      <c r="AW290" s="203">
        <f t="shared" si="246"/>
        <v>0</v>
      </c>
      <c r="AX290" s="203">
        <f t="shared" si="246"/>
        <v>0</v>
      </c>
      <c r="AY290" s="203">
        <f t="shared" si="246"/>
        <v>0</v>
      </c>
      <c r="AZ290" s="203">
        <f t="shared" si="246"/>
        <v>0</v>
      </c>
      <c r="BA290" s="203">
        <f t="shared" si="246"/>
        <v>0</v>
      </c>
      <c r="BB290" s="203">
        <f t="shared" si="246"/>
        <v>0</v>
      </c>
      <c r="BC290" s="597"/>
      <c r="BD290" s="1038"/>
      <c r="BE290" s="277"/>
      <c r="BF290" s="278"/>
      <c r="BG290" s="175"/>
      <c r="BH290" s="175"/>
      <c r="BI290" s="168"/>
    </row>
    <row r="291" spans="1:61" s="284" customFormat="1" ht="24.95" customHeight="1" thickBot="1" x14ac:dyDescent="0.3">
      <c r="A291" s="731"/>
      <c r="B291" s="664"/>
      <c r="C291" s="1020"/>
      <c r="D291" s="1033"/>
      <c r="E291" s="1015"/>
      <c r="F291" s="1019"/>
      <c r="G291" s="777"/>
      <c r="H291" s="1029"/>
      <c r="I291" s="724"/>
      <c r="J291" s="778"/>
      <c r="K291" s="832"/>
      <c r="L291" s="772"/>
      <c r="M291" s="724"/>
      <c r="N291" s="724"/>
      <c r="O291" s="724"/>
      <c r="P291" s="760"/>
      <c r="Q291" s="760"/>
      <c r="R291" s="760"/>
      <c r="S291" s="760"/>
      <c r="T291" s="766"/>
      <c r="U291" s="170" t="s">
        <v>96</v>
      </c>
      <c r="V291" s="221">
        <f t="shared" ref="V291:AC291" si="247">IF((V289/V290)&lt;$I$8,(V289/V290),IF((V289/V290)&lt;$J$8,(V289/V290),IF((V289/V290)&lt;$J$9,(V289/V290),IF((V289/V290)&gt;=$J$9,$J$9))))</f>
        <v>0</v>
      </c>
      <c r="W291" s="221">
        <f t="shared" si="247"/>
        <v>0</v>
      </c>
      <c r="X291" s="221">
        <f t="shared" si="247"/>
        <v>0</v>
      </c>
      <c r="Y291" s="221">
        <f t="shared" si="247"/>
        <v>0</v>
      </c>
      <c r="Z291" s="221">
        <f t="shared" si="247"/>
        <v>0</v>
      </c>
      <c r="AA291" s="221">
        <f t="shared" si="247"/>
        <v>0</v>
      </c>
      <c r="AB291" s="221">
        <f t="shared" si="247"/>
        <v>0</v>
      </c>
      <c r="AC291" s="221">
        <f t="shared" si="247"/>
        <v>0</v>
      </c>
      <c r="AD291" s="1006"/>
      <c r="AE291" s="1009"/>
      <c r="AF291" s="1009"/>
      <c r="AG291" s="1009"/>
      <c r="AH291" s="738"/>
      <c r="AI291" s="738"/>
      <c r="AJ291" s="715"/>
      <c r="AK291" s="715"/>
      <c r="AL291" s="715"/>
      <c r="AM291" s="715"/>
      <c r="AN291" s="715"/>
      <c r="AO291" s="715"/>
      <c r="AP291" s="715"/>
      <c r="AQ291" s="1026"/>
      <c r="AR291" s="715"/>
      <c r="AS291" s="715"/>
      <c r="AT291" s="276" t="s">
        <v>132</v>
      </c>
      <c r="AU291" s="203">
        <f>+AU289*$F$289</f>
        <v>0</v>
      </c>
      <c r="AV291" s="203">
        <f t="shared" ref="AV291:BB291" si="248">+AV289*$F$289</f>
        <v>0</v>
      </c>
      <c r="AW291" s="203">
        <f t="shared" si="248"/>
        <v>0</v>
      </c>
      <c r="AX291" s="203">
        <f t="shared" si="248"/>
        <v>0</v>
      </c>
      <c r="AY291" s="203">
        <f t="shared" si="248"/>
        <v>0</v>
      </c>
      <c r="AZ291" s="203">
        <f t="shared" si="248"/>
        <v>0</v>
      </c>
      <c r="BA291" s="203">
        <f t="shared" si="248"/>
        <v>0</v>
      </c>
      <c r="BB291" s="127">
        <f t="shared" si="248"/>
        <v>0</v>
      </c>
      <c r="BC291" s="598"/>
      <c r="BD291" s="1038"/>
      <c r="BE291" s="277"/>
      <c r="BF291" s="278"/>
      <c r="BG291" s="175"/>
      <c r="BH291" s="175"/>
      <c r="BI291" s="168"/>
    </row>
    <row r="292" spans="1:61" s="284" customFormat="1" ht="35.1" customHeight="1" x14ac:dyDescent="0.25">
      <c r="A292" s="286"/>
      <c r="B292" s="800"/>
      <c r="C292" s="1020">
        <v>9</v>
      </c>
      <c r="D292" s="1033"/>
      <c r="E292" s="1015"/>
      <c r="F292" s="1017">
        <v>0.01</v>
      </c>
      <c r="G292" s="777"/>
      <c r="H292" s="1021">
        <v>0.25</v>
      </c>
      <c r="I292" s="722" t="s">
        <v>509</v>
      </c>
      <c r="J292" s="776">
        <v>1</v>
      </c>
      <c r="K292" s="830" t="s">
        <v>510</v>
      </c>
      <c r="L292" s="830" t="s">
        <v>511</v>
      </c>
      <c r="M292" s="785" t="s">
        <v>511</v>
      </c>
      <c r="N292" s="785" t="s">
        <v>465</v>
      </c>
      <c r="O292" s="785" t="s">
        <v>89</v>
      </c>
      <c r="P292" s="758">
        <v>0.02</v>
      </c>
      <c r="Q292" s="758">
        <v>1</v>
      </c>
      <c r="R292" s="758">
        <v>1</v>
      </c>
      <c r="S292" s="758">
        <v>1</v>
      </c>
      <c r="T292" s="764" t="s">
        <v>151</v>
      </c>
      <c r="U292" s="287" t="s">
        <v>512</v>
      </c>
      <c r="V292" s="288"/>
      <c r="W292" s="288"/>
      <c r="X292" s="289"/>
      <c r="Y292" s="289"/>
      <c r="Z292" s="226"/>
      <c r="AA292" s="226"/>
      <c r="AB292" s="226"/>
      <c r="AC292" s="226"/>
      <c r="AD292" s="1004">
        <f>+AE292+AF292+AG292</f>
        <v>0</v>
      </c>
      <c r="AE292" s="1007">
        <v>0</v>
      </c>
      <c r="AF292" s="1007">
        <v>0</v>
      </c>
      <c r="AG292" s="1007">
        <v>0</v>
      </c>
      <c r="AH292" s="1010" t="s">
        <v>467</v>
      </c>
      <c r="AI292" s="1010" t="s">
        <v>468</v>
      </c>
      <c r="AJ292" s="1001"/>
      <c r="AK292" s="1001"/>
      <c r="AL292" s="1001"/>
      <c r="AM292" s="1001" t="s">
        <v>94</v>
      </c>
      <c r="AN292" s="1001" t="s">
        <v>94</v>
      </c>
      <c r="AO292" s="1001"/>
      <c r="AP292" s="1001"/>
      <c r="AQ292" s="736" t="s">
        <v>94</v>
      </c>
      <c r="AR292" s="1001"/>
      <c r="AS292" s="1001"/>
      <c r="AT292" s="276" t="s">
        <v>129</v>
      </c>
      <c r="AU292" s="203">
        <f t="shared" ref="AU292:BB292" si="249">+V294*$J$292</f>
        <v>0</v>
      </c>
      <c r="AV292" s="203">
        <f t="shared" si="249"/>
        <v>0</v>
      </c>
      <c r="AW292" s="203">
        <f t="shared" si="249"/>
        <v>0</v>
      </c>
      <c r="AX292" s="203">
        <f t="shared" si="249"/>
        <v>0</v>
      </c>
      <c r="AY292" s="203">
        <f t="shared" si="249"/>
        <v>0</v>
      </c>
      <c r="AZ292" s="203">
        <f t="shared" si="249"/>
        <v>0</v>
      </c>
      <c r="BA292" s="203">
        <f t="shared" si="249"/>
        <v>0</v>
      </c>
      <c r="BB292" s="203">
        <f t="shared" si="249"/>
        <v>0</v>
      </c>
      <c r="BC292" s="596">
        <f>+BB294</f>
        <v>0</v>
      </c>
      <c r="BD292" s="1038"/>
      <c r="BE292" s="277"/>
      <c r="BF292" s="278"/>
      <c r="BG292" s="175"/>
      <c r="BH292" s="175"/>
      <c r="BI292" s="168"/>
    </row>
    <row r="293" spans="1:61" s="168" customFormat="1" ht="35.1" customHeight="1" thickBot="1" x14ac:dyDescent="0.3">
      <c r="A293" s="290"/>
      <c r="B293" s="800"/>
      <c r="C293" s="1020"/>
      <c r="D293" s="1033"/>
      <c r="E293" s="1015"/>
      <c r="F293" s="1018"/>
      <c r="G293" s="777"/>
      <c r="H293" s="1022"/>
      <c r="I293" s="723"/>
      <c r="J293" s="777"/>
      <c r="K293" s="831"/>
      <c r="L293" s="831"/>
      <c r="M293" s="786"/>
      <c r="N293" s="786"/>
      <c r="O293" s="786"/>
      <c r="P293" s="759"/>
      <c r="Q293" s="759"/>
      <c r="R293" s="759"/>
      <c r="S293" s="759"/>
      <c r="T293" s="765"/>
      <c r="U293" s="224" t="s">
        <v>508</v>
      </c>
      <c r="V293" s="228">
        <v>0.15</v>
      </c>
      <c r="W293" s="228">
        <v>0.3</v>
      </c>
      <c r="X293" s="228">
        <v>0.35</v>
      </c>
      <c r="Y293" s="228">
        <v>0.2</v>
      </c>
      <c r="Z293" s="228">
        <f>+V293</f>
        <v>0.15</v>
      </c>
      <c r="AA293" s="228">
        <f>+V293+W293</f>
        <v>0.44999999999999996</v>
      </c>
      <c r="AB293" s="228">
        <f>+V293+W293+X293</f>
        <v>0.79999999999999993</v>
      </c>
      <c r="AC293" s="228">
        <f>+V293+W293+X293+Y293</f>
        <v>1</v>
      </c>
      <c r="AD293" s="1005"/>
      <c r="AE293" s="1008"/>
      <c r="AF293" s="1008"/>
      <c r="AG293" s="1008"/>
      <c r="AH293" s="1011"/>
      <c r="AI293" s="1011"/>
      <c r="AJ293" s="1002"/>
      <c r="AK293" s="1002"/>
      <c r="AL293" s="1002"/>
      <c r="AM293" s="1002"/>
      <c r="AN293" s="1002"/>
      <c r="AO293" s="1002"/>
      <c r="AP293" s="1002"/>
      <c r="AQ293" s="737"/>
      <c r="AR293" s="1002"/>
      <c r="AS293" s="1002"/>
      <c r="AT293" s="276" t="s">
        <v>131</v>
      </c>
      <c r="AU293" s="203">
        <f>+AU292*$H$292</f>
        <v>0</v>
      </c>
      <c r="AV293" s="203">
        <f t="shared" ref="AV293:BB293" si="250">+AV292*$H$292</f>
        <v>0</v>
      </c>
      <c r="AW293" s="203">
        <f t="shared" si="250"/>
        <v>0</v>
      </c>
      <c r="AX293" s="203">
        <f t="shared" si="250"/>
        <v>0</v>
      </c>
      <c r="AY293" s="203">
        <f t="shared" si="250"/>
        <v>0</v>
      </c>
      <c r="AZ293" s="203">
        <f t="shared" si="250"/>
        <v>0</v>
      </c>
      <c r="BA293" s="203">
        <f t="shared" si="250"/>
        <v>0</v>
      </c>
      <c r="BB293" s="203">
        <f t="shared" si="250"/>
        <v>0</v>
      </c>
      <c r="BC293" s="597"/>
      <c r="BD293" s="1038"/>
      <c r="BE293" s="246"/>
      <c r="BF293" s="291"/>
    </row>
    <row r="294" spans="1:61" s="284" customFormat="1" ht="24.95" customHeight="1" thickBot="1" x14ac:dyDescent="0.3">
      <c r="A294" s="286"/>
      <c r="B294" s="800"/>
      <c r="C294" s="1020"/>
      <c r="D294" s="1033"/>
      <c r="E294" s="1016"/>
      <c r="F294" s="1019"/>
      <c r="G294" s="778"/>
      <c r="H294" s="1023"/>
      <c r="I294" s="724"/>
      <c r="J294" s="778"/>
      <c r="K294" s="832"/>
      <c r="L294" s="832"/>
      <c r="M294" s="787"/>
      <c r="N294" s="787"/>
      <c r="O294" s="787"/>
      <c r="P294" s="760"/>
      <c r="Q294" s="760"/>
      <c r="R294" s="760"/>
      <c r="S294" s="760"/>
      <c r="T294" s="766"/>
      <c r="U294" s="194" t="s">
        <v>96</v>
      </c>
      <c r="V294" s="221">
        <f t="shared" ref="V294:AC294" si="251">IF((V292/V293)&lt;$I$8,(V292/V293),IF((V292/V293)&lt;$J$8,(V292/V293),IF((V292/V293)&lt;$J$9,(V292/V293),IF((V292/V293)&gt;=$J$9,$J$9))))</f>
        <v>0</v>
      </c>
      <c r="W294" s="221">
        <f t="shared" si="251"/>
        <v>0</v>
      </c>
      <c r="X294" s="221">
        <f t="shared" si="251"/>
        <v>0</v>
      </c>
      <c r="Y294" s="221">
        <f t="shared" si="251"/>
        <v>0</v>
      </c>
      <c r="Z294" s="221">
        <f t="shared" si="251"/>
        <v>0</v>
      </c>
      <c r="AA294" s="221">
        <f t="shared" si="251"/>
        <v>0</v>
      </c>
      <c r="AB294" s="221">
        <f t="shared" si="251"/>
        <v>0</v>
      </c>
      <c r="AC294" s="221">
        <f t="shared" si="251"/>
        <v>0</v>
      </c>
      <c r="AD294" s="1006"/>
      <c r="AE294" s="1009"/>
      <c r="AF294" s="1009"/>
      <c r="AG294" s="1009"/>
      <c r="AH294" s="1012"/>
      <c r="AI294" s="1012"/>
      <c r="AJ294" s="1003"/>
      <c r="AK294" s="1003"/>
      <c r="AL294" s="1003"/>
      <c r="AM294" s="1003"/>
      <c r="AN294" s="1003"/>
      <c r="AO294" s="1003"/>
      <c r="AP294" s="1003"/>
      <c r="AQ294" s="738"/>
      <c r="AR294" s="1003"/>
      <c r="AS294" s="1003"/>
      <c r="AT294" s="276" t="s">
        <v>132</v>
      </c>
      <c r="AU294" s="203">
        <f>+AU292*$F$292</f>
        <v>0</v>
      </c>
      <c r="AV294" s="203">
        <f t="shared" ref="AV294:BB294" si="252">+AV292*$F$292</f>
        <v>0</v>
      </c>
      <c r="AW294" s="203">
        <f t="shared" si="252"/>
        <v>0</v>
      </c>
      <c r="AX294" s="203">
        <f t="shared" si="252"/>
        <v>0</v>
      </c>
      <c r="AY294" s="265">
        <f t="shared" si="252"/>
        <v>0</v>
      </c>
      <c r="AZ294" s="203">
        <f t="shared" si="252"/>
        <v>0</v>
      </c>
      <c r="BA294" s="203">
        <f t="shared" si="252"/>
        <v>0</v>
      </c>
      <c r="BB294" s="127">
        <f t="shared" si="252"/>
        <v>0</v>
      </c>
      <c r="BC294" s="598"/>
      <c r="BD294" s="1039"/>
      <c r="BE294" s="291"/>
      <c r="BF294" s="291"/>
    </row>
    <row r="295" spans="1:61" s="284" customFormat="1" ht="24.95" customHeight="1" x14ac:dyDescent="0.25">
      <c r="A295" s="668" t="s">
        <v>230</v>
      </c>
      <c r="B295" s="230"/>
      <c r="C295" s="1013">
        <v>10</v>
      </c>
      <c r="D295" s="1033"/>
      <c r="E295" s="1014" t="s">
        <v>513</v>
      </c>
      <c r="F295" s="1017">
        <v>0.02</v>
      </c>
      <c r="G295" s="777" t="s">
        <v>514</v>
      </c>
      <c r="H295" s="758">
        <v>0.3</v>
      </c>
      <c r="I295" s="722" t="s">
        <v>515</v>
      </c>
      <c r="J295" s="776">
        <v>1</v>
      </c>
      <c r="K295" s="830" t="s">
        <v>516</v>
      </c>
      <c r="L295" s="830" t="s">
        <v>517</v>
      </c>
      <c r="M295" s="722" t="str">
        <f t="shared" ref="M295:M298" si="253">CONCATENATE(U295,$S$32,U296)</f>
        <v>Centros de trabajo cuantificadosCentros de trabajo Programados</v>
      </c>
      <c r="N295" s="785" t="s">
        <v>518</v>
      </c>
      <c r="O295" s="785" t="s">
        <v>519</v>
      </c>
      <c r="P295" s="758" t="s">
        <v>520</v>
      </c>
      <c r="Q295" s="758" t="s">
        <v>90</v>
      </c>
      <c r="R295" s="758">
        <v>1</v>
      </c>
      <c r="S295" s="758">
        <v>1</v>
      </c>
      <c r="T295" s="674" t="s">
        <v>91</v>
      </c>
      <c r="U295" s="287" t="s">
        <v>521</v>
      </c>
      <c r="V295" s="288"/>
      <c r="W295" s="288"/>
      <c r="X295" s="289"/>
      <c r="Y295" s="289"/>
      <c r="Z295" s="226"/>
      <c r="AA295" s="226"/>
      <c r="AB295" s="226"/>
      <c r="AC295" s="226"/>
      <c r="AD295" s="1004">
        <f>+AE295+AF295+AG295</f>
        <v>0</v>
      </c>
      <c r="AE295" s="1007">
        <v>0</v>
      </c>
      <c r="AF295" s="1007">
        <v>0</v>
      </c>
      <c r="AG295" s="1007">
        <v>0</v>
      </c>
      <c r="AH295" s="1010" t="s">
        <v>522</v>
      </c>
      <c r="AI295" s="1010" t="s">
        <v>523</v>
      </c>
      <c r="AJ295" s="713" t="s">
        <v>94</v>
      </c>
      <c r="AK295" s="1001"/>
      <c r="AL295" s="1001"/>
      <c r="AM295" s="1001"/>
      <c r="AN295" s="713" t="s">
        <v>94</v>
      </c>
      <c r="AO295" s="1001"/>
      <c r="AP295" s="1001"/>
      <c r="AQ295" s="713" t="s">
        <v>94</v>
      </c>
      <c r="AR295" s="1001"/>
      <c r="AS295" s="1001"/>
      <c r="AT295" s="292"/>
      <c r="AU295" s="267"/>
      <c r="AV295" s="267"/>
      <c r="AW295" s="267"/>
      <c r="AX295" s="268"/>
      <c r="AY295" s="233"/>
      <c r="AZ295" s="269"/>
      <c r="BA295" s="267"/>
      <c r="BB295" s="293"/>
      <c r="BC295" s="294"/>
      <c r="BD295" s="295"/>
      <c r="BE295" s="291"/>
      <c r="BF295" s="291"/>
    </row>
    <row r="296" spans="1:61" s="284" customFormat="1" ht="24.95" customHeight="1" x14ac:dyDescent="0.25">
      <c r="A296" s="668"/>
      <c r="B296" s="230"/>
      <c r="C296" s="1013"/>
      <c r="D296" s="1033"/>
      <c r="E296" s="1015"/>
      <c r="F296" s="1018"/>
      <c r="G296" s="777"/>
      <c r="H296" s="759"/>
      <c r="I296" s="723"/>
      <c r="J296" s="777"/>
      <c r="K296" s="831"/>
      <c r="L296" s="831"/>
      <c r="M296" s="723"/>
      <c r="N296" s="786"/>
      <c r="O296" s="786"/>
      <c r="P296" s="759"/>
      <c r="Q296" s="759"/>
      <c r="R296" s="759"/>
      <c r="S296" s="759"/>
      <c r="T296" s="674"/>
      <c r="U296" s="224" t="s">
        <v>524</v>
      </c>
      <c r="V296" s="228">
        <v>1E-4</v>
      </c>
      <c r="W296" s="228">
        <v>1E-4</v>
      </c>
      <c r="X296" s="228">
        <v>1E-4</v>
      </c>
      <c r="Y296" s="170">
        <v>23</v>
      </c>
      <c r="Z296" s="228"/>
      <c r="AA296" s="228"/>
      <c r="AB296" s="228"/>
      <c r="AC296" s="228">
        <v>0.23</v>
      </c>
      <c r="AD296" s="1005"/>
      <c r="AE296" s="1008"/>
      <c r="AF296" s="1008"/>
      <c r="AG296" s="1008"/>
      <c r="AH296" s="1011"/>
      <c r="AI296" s="1011"/>
      <c r="AJ296" s="714"/>
      <c r="AK296" s="1002"/>
      <c r="AL296" s="1002"/>
      <c r="AM296" s="1002"/>
      <c r="AN296" s="714"/>
      <c r="AO296" s="1002"/>
      <c r="AP296" s="1002"/>
      <c r="AQ296" s="714"/>
      <c r="AR296" s="1002"/>
      <c r="AS296" s="1002"/>
      <c r="AT296" s="292"/>
      <c r="AU296" s="267"/>
      <c r="AV296" s="267"/>
      <c r="AW296" s="267"/>
      <c r="AX296" s="268"/>
      <c r="AY296" s="233"/>
      <c r="AZ296" s="269"/>
      <c r="BA296" s="267"/>
      <c r="BB296" s="293"/>
      <c r="BC296" s="294"/>
      <c r="BD296" s="295"/>
      <c r="BE296" s="291"/>
      <c r="BF296" s="291"/>
    </row>
    <row r="297" spans="1:61" s="284" customFormat="1" ht="24.95" customHeight="1" x14ac:dyDescent="0.25">
      <c r="A297" s="668"/>
      <c r="B297" s="230"/>
      <c r="C297" s="1013"/>
      <c r="D297" s="1033"/>
      <c r="E297" s="1015"/>
      <c r="F297" s="1018"/>
      <c r="G297" s="777"/>
      <c r="H297" s="760"/>
      <c r="I297" s="724"/>
      <c r="J297" s="778"/>
      <c r="K297" s="832"/>
      <c r="L297" s="832"/>
      <c r="M297" s="724"/>
      <c r="N297" s="787"/>
      <c r="O297" s="787"/>
      <c r="P297" s="760"/>
      <c r="Q297" s="760"/>
      <c r="R297" s="760"/>
      <c r="S297" s="760"/>
      <c r="T297" s="674"/>
      <c r="U297" s="194" t="s">
        <v>96</v>
      </c>
      <c r="V297" s="197">
        <f t="shared" ref="V297:AC297" si="254">IF((V295/V296)&lt;$G$8,(V295/V296),IF((V295/V296)&lt;$H$8,(V295/V296),IF((V295/V296)&lt;$H$9,(V295/V296),IF((V295/V296)&gt;=$H$9,$H$9))))</f>
        <v>0</v>
      </c>
      <c r="W297" s="197">
        <f t="shared" si="254"/>
        <v>0</v>
      </c>
      <c r="X297" s="197">
        <f t="shared" si="254"/>
        <v>0</v>
      </c>
      <c r="Y297" s="221">
        <f t="shared" si="254"/>
        <v>0</v>
      </c>
      <c r="Z297" s="197" t="e">
        <f t="shared" si="254"/>
        <v>#DIV/0!</v>
      </c>
      <c r="AA297" s="197" t="e">
        <f t="shared" si="254"/>
        <v>#DIV/0!</v>
      </c>
      <c r="AB297" s="197" t="e">
        <f t="shared" si="254"/>
        <v>#DIV/0!</v>
      </c>
      <c r="AC297" s="221">
        <f t="shared" si="254"/>
        <v>0</v>
      </c>
      <c r="AD297" s="1006"/>
      <c r="AE297" s="1009"/>
      <c r="AF297" s="1009"/>
      <c r="AG297" s="1009"/>
      <c r="AH297" s="1012"/>
      <c r="AI297" s="1012"/>
      <c r="AJ297" s="715"/>
      <c r="AK297" s="1003"/>
      <c r="AL297" s="1003"/>
      <c r="AM297" s="1003"/>
      <c r="AN297" s="715"/>
      <c r="AO297" s="1003"/>
      <c r="AP297" s="1003"/>
      <c r="AQ297" s="715"/>
      <c r="AR297" s="1003"/>
      <c r="AS297" s="1003"/>
      <c r="AT297" s="292"/>
      <c r="AU297" s="267"/>
      <c r="AV297" s="267"/>
      <c r="AW297" s="267"/>
      <c r="AX297" s="268"/>
      <c r="AY297" s="233"/>
      <c r="AZ297" s="269"/>
      <c r="BA297" s="267"/>
      <c r="BB297" s="293"/>
      <c r="BC297" s="294"/>
      <c r="BD297" s="295"/>
      <c r="BE297" s="291"/>
      <c r="BF297" s="291"/>
    </row>
    <row r="298" spans="1:61" s="284" customFormat="1" ht="24.95" customHeight="1" x14ac:dyDescent="0.25">
      <c r="A298" s="668" t="s">
        <v>230</v>
      </c>
      <c r="B298" s="230"/>
      <c r="C298" s="1013">
        <v>11</v>
      </c>
      <c r="D298" s="1033"/>
      <c r="E298" s="1015"/>
      <c r="F298" s="1018"/>
      <c r="G298" s="777"/>
      <c r="H298" s="758">
        <v>0.7</v>
      </c>
      <c r="I298" s="722" t="s">
        <v>525</v>
      </c>
      <c r="J298" s="776">
        <v>1</v>
      </c>
      <c r="K298" s="830" t="s">
        <v>526</v>
      </c>
      <c r="L298" s="830" t="s">
        <v>527</v>
      </c>
      <c r="M298" s="722" t="str">
        <f t="shared" si="253"/>
        <v>Residuos Peligrosos con disposición final (kG)Residuos Generados cuantificados para disposición  (kG)</v>
      </c>
      <c r="N298" s="785" t="s">
        <v>528</v>
      </c>
      <c r="O298" s="785" t="s">
        <v>519</v>
      </c>
      <c r="P298" s="758" t="s">
        <v>520</v>
      </c>
      <c r="Q298" s="758" t="s">
        <v>90</v>
      </c>
      <c r="R298" s="758">
        <v>1</v>
      </c>
      <c r="S298" s="758">
        <v>1</v>
      </c>
      <c r="T298" s="674" t="s">
        <v>91</v>
      </c>
      <c r="U298" s="287" t="s">
        <v>529</v>
      </c>
      <c r="V298" s="288"/>
      <c r="W298" s="288"/>
      <c r="X298" s="289"/>
      <c r="Y298" s="289"/>
      <c r="Z298" s="226"/>
      <c r="AA298" s="226"/>
      <c r="AB298" s="226"/>
      <c r="AC298" s="226"/>
      <c r="AD298" s="1004">
        <f>+AE298+AF298+AG298</f>
        <v>60000000</v>
      </c>
      <c r="AE298" s="1007">
        <v>0</v>
      </c>
      <c r="AF298" s="1007">
        <v>60000000</v>
      </c>
      <c r="AG298" s="1007">
        <v>0</v>
      </c>
      <c r="AH298" s="1010" t="s">
        <v>522</v>
      </c>
      <c r="AI298" s="1010" t="s">
        <v>523</v>
      </c>
      <c r="AJ298" s="1001"/>
      <c r="AK298" s="1001"/>
      <c r="AL298" s="1001"/>
      <c r="AM298" s="1001"/>
      <c r="AN298" s="1001"/>
      <c r="AO298" s="1001"/>
      <c r="AP298" s="1001"/>
      <c r="AQ298" s="736"/>
      <c r="AR298" s="1001"/>
      <c r="AS298" s="1001"/>
      <c r="AT298" s="292"/>
      <c r="AU298" s="267"/>
      <c r="AV298" s="267"/>
      <c r="AW298" s="267"/>
      <c r="AX298" s="268"/>
      <c r="AY298" s="233"/>
      <c r="AZ298" s="269"/>
      <c r="BA298" s="267"/>
      <c r="BB298" s="293"/>
      <c r="BC298" s="294"/>
      <c r="BD298" s="295"/>
      <c r="BE298" s="291"/>
      <c r="BF298" s="291"/>
    </row>
    <row r="299" spans="1:61" s="284" customFormat="1" ht="24.95" customHeight="1" x14ac:dyDescent="0.25">
      <c r="A299" s="668"/>
      <c r="B299" s="230"/>
      <c r="C299" s="1013"/>
      <c r="D299" s="1033"/>
      <c r="E299" s="1015"/>
      <c r="F299" s="1018"/>
      <c r="G299" s="777"/>
      <c r="H299" s="759"/>
      <c r="I299" s="723"/>
      <c r="J299" s="777"/>
      <c r="K299" s="831"/>
      <c r="L299" s="831"/>
      <c r="M299" s="723"/>
      <c r="N299" s="786"/>
      <c r="O299" s="786"/>
      <c r="P299" s="759"/>
      <c r="Q299" s="759"/>
      <c r="R299" s="759"/>
      <c r="S299" s="759"/>
      <c r="T299" s="674"/>
      <c r="U299" s="224" t="s">
        <v>530</v>
      </c>
      <c r="V299" s="296">
        <v>1E-4</v>
      </c>
      <c r="W299" s="296">
        <v>1E-4</v>
      </c>
      <c r="X299" s="296">
        <v>1E-4</v>
      </c>
      <c r="Y299" s="296">
        <v>1E-4</v>
      </c>
      <c r="Z299" s="228"/>
      <c r="AA299" s="228"/>
      <c r="AB299" s="228"/>
      <c r="AC299" s="228"/>
      <c r="AD299" s="1005"/>
      <c r="AE299" s="1008"/>
      <c r="AF299" s="1008"/>
      <c r="AG299" s="1008"/>
      <c r="AH299" s="1011"/>
      <c r="AI299" s="1011"/>
      <c r="AJ299" s="1002"/>
      <c r="AK299" s="1002"/>
      <c r="AL299" s="1002"/>
      <c r="AM299" s="1002"/>
      <c r="AN299" s="1002"/>
      <c r="AO299" s="1002"/>
      <c r="AP299" s="1002"/>
      <c r="AQ299" s="737"/>
      <c r="AR299" s="1002"/>
      <c r="AS299" s="1002"/>
      <c r="AT299" s="292"/>
      <c r="AU299" s="267"/>
      <c r="AV299" s="267"/>
      <c r="AW299" s="267"/>
      <c r="AX299" s="268"/>
      <c r="AY299" s="233"/>
      <c r="AZ299" s="269"/>
      <c r="BA299" s="267"/>
      <c r="BB299" s="293"/>
      <c r="BC299" s="294"/>
      <c r="BD299" s="295"/>
      <c r="BE299" s="291"/>
      <c r="BF299" s="291"/>
    </row>
    <row r="300" spans="1:61" s="284" customFormat="1" ht="24.95" customHeight="1" x14ac:dyDescent="0.25">
      <c r="A300" s="668"/>
      <c r="B300" s="230"/>
      <c r="C300" s="1013"/>
      <c r="D300" s="1033"/>
      <c r="E300" s="1016"/>
      <c r="F300" s="1019"/>
      <c r="G300" s="778"/>
      <c r="H300" s="760"/>
      <c r="I300" s="724"/>
      <c r="J300" s="778"/>
      <c r="K300" s="832"/>
      <c r="L300" s="832"/>
      <c r="M300" s="724"/>
      <c r="N300" s="787"/>
      <c r="O300" s="787"/>
      <c r="P300" s="760"/>
      <c r="Q300" s="760"/>
      <c r="R300" s="760"/>
      <c r="S300" s="760"/>
      <c r="T300" s="674"/>
      <c r="U300" s="194" t="s">
        <v>96</v>
      </c>
      <c r="V300" s="197">
        <f t="shared" ref="V300:AC300" si="255">IF((V298/V299)&lt;$G$8,(V298/V299),IF((V298/V299)&lt;$H$8,(V298/V299),IF((V298/V299)&lt;$H$9,(V298/V299),IF((V298/V299)&gt;=$H$9,$H$9))))</f>
        <v>0</v>
      </c>
      <c r="W300" s="197">
        <f t="shared" si="255"/>
        <v>0</v>
      </c>
      <c r="X300" s="197">
        <f t="shared" si="255"/>
        <v>0</v>
      </c>
      <c r="Y300" s="221">
        <f t="shared" si="255"/>
        <v>0</v>
      </c>
      <c r="Z300" s="197" t="e">
        <f t="shared" si="255"/>
        <v>#DIV/0!</v>
      </c>
      <c r="AA300" s="197" t="e">
        <f t="shared" si="255"/>
        <v>#DIV/0!</v>
      </c>
      <c r="AB300" s="197" t="e">
        <f t="shared" si="255"/>
        <v>#DIV/0!</v>
      </c>
      <c r="AC300" s="221" t="e">
        <f t="shared" si="255"/>
        <v>#DIV/0!</v>
      </c>
      <c r="AD300" s="1006"/>
      <c r="AE300" s="1009"/>
      <c r="AF300" s="1009"/>
      <c r="AG300" s="1009"/>
      <c r="AH300" s="1012"/>
      <c r="AI300" s="1012"/>
      <c r="AJ300" s="1003"/>
      <c r="AK300" s="1003"/>
      <c r="AL300" s="1003"/>
      <c r="AM300" s="1003"/>
      <c r="AN300" s="1003"/>
      <c r="AO300" s="1003"/>
      <c r="AP300" s="1003"/>
      <c r="AQ300" s="738"/>
      <c r="AR300" s="1003"/>
      <c r="AS300" s="1003"/>
      <c r="AT300" s="292"/>
      <c r="AU300" s="267"/>
      <c r="AV300" s="267"/>
      <c r="AW300" s="267"/>
      <c r="AX300" s="268"/>
      <c r="AY300" s="233"/>
      <c r="AZ300" s="269"/>
      <c r="BA300" s="267"/>
      <c r="BB300" s="293"/>
      <c r="BC300" s="294"/>
      <c r="BD300" s="295"/>
      <c r="BE300" s="291"/>
      <c r="BF300" s="291"/>
    </row>
    <row r="301" spans="1:61" s="159" customFormat="1" ht="24.95" hidden="1" customHeight="1" thickBot="1" x14ac:dyDescent="0.3">
      <c r="A301" s="297"/>
      <c r="B301" s="298"/>
      <c r="C301" s="178">
        <f>+C292+C255</f>
        <v>55</v>
      </c>
      <c r="D301" s="144"/>
      <c r="E301" s="67"/>
      <c r="F301" s="154"/>
      <c r="G301" s="154"/>
      <c r="H301" s="154"/>
      <c r="I301" s="155"/>
      <c r="J301" s="154"/>
      <c r="K301" s="155"/>
      <c r="L301" s="155"/>
      <c r="M301" s="155"/>
      <c r="N301" s="155"/>
      <c r="O301" s="155"/>
      <c r="P301" s="154"/>
      <c r="Q301" s="154"/>
      <c r="R301" s="154"/>
      <c r="S301" s="154"/>
      <c r="T301" s="154"/>
      <c r="U301" s="154"/>
      <c r="V301" s="157"/>
      <c r="W301" s="157"/>
      <c r="X301" s="157"/>
      <c r="Y301" s="157"/>
      <c r="Z301" s="157"/>
      <c r="AA301" s="157"/>
      <c r="AB301" s="157"/>
      <c r="AC301" s="157"/>
      <c r="AD301" s="158"/>
      <c r="AE301" s="157"/>
      <c r="AF301" s="157"/>
      <c r="AG301" s="157"/>
      <c r="AH301" s="157"/>
      <c r="AI301" s="180"/>
      <c r="AJ301" s="145">
        <f>COUNTA(AJ268:AJ294)</f>
        <v>8</v>
      </c>
      <c r="AK301" s="145">
        <f t="shared" ref="AK301:AS301" si="256">COUNTA(AK268:AK294)</f>
        <v>0</v>
      </c>
      <c r="AL301" s="145">
        <f t="shared" si="256"/>
        <v>0</v>
      </c>
      <c r="AM301" s="145">
        <f t="shared" si="256"/>
        <v>4</v>
      </c>
      <c r="AN301" s="145">
        <f>COUNTA(AN268:AN294)</f>
        <v>6</v>
      </c>
      <c r="AO301" s="145">
        <f t="shared" si="256"/>
        <v>1</v>
      </c>
      <c r="AP301" s="145">
        <f>COUNTA(AP268:AP294)</f>
        <v>2</v>
      </c>
      <c r="AQ301" s="145">
        <f t="shared" si="256"/>
        <v>8</v>
      </c>
      <c r="AR301" s="145">
        <f t="shared" si="256"/>
        <v>0</v>
      </c>
      <c r="AS301" s="145">
        <f t="shared" si="256"/>
        <v>1</v>
      </c>
      <c r="AT301" s="180"/>
      <c r="AU301" s="267">
        <f>+AU270+AU291+AU294</f>
        <v>0</v>
      </c>
      <c r="AV301" s="267">
        <f t="shared" ref="AV301:BB301" si="257">+AV270+AV291+AV294</f>
        <v>0</v>
      </c>
      <c r="AW301" s="267">
        <f t="shared" si="257"/>
        <v>0</v>
      </c>
      <c r="AX301" s="268">
        <f t="shared" si="257"/>
        <v>0</v>
      </c>
      <c r="AY301" s="205">
        <f t="shared" si="257"/>
        <v>0</v>
      </c>
      <c r="AZ301" s="269">
        <f t="shared" si="257"/>
        <v>0</v>
      </c>
      <c r="BA301" s="267">
        <f t="shared" si="257"/>
        <v>0</v>
      </c>
      <c r="BB301" s="267">
        <f t="shared" si="257"/>
        <v>0</v>
      </c>
      <c r="BC301" s="157"/>
      <c r="BD301" s="157"/>
      <c r="BE301" s="47"/>
      <c r="BF301" s="94"/>
      <c r="BG301" s="95"/>
      <c r="BH301" s="95"/>
      <c r="BI301" s="50"/>
    </row>
    <row r="302" spans="1:61" s="159" customFormat="1" ht="20.100000000000001" hidden="1" customHeight="1" x14ac:dyDescent="0.25">
      <c r="A302" s="271"/>
      <c r="B302" s="272"/>
      <c r="C302" s="107"/>
      <c r="D302" s="273"/>
      <c r="E302" s="273"/>
      <c r="F302" s="154"/>
      <c r="G302" s="154"/>
      <c r="H302" s="154"/>
      <c r="I302" s="155"/>
      <c r="J302" s="154"/>
      <c r="K302" s="155"/>
      <c r="L302" s="155"/>
      <c r="M302" s="155"/>
      <c r="N302" s="155"/>
      <c r="O302" s="155"/>
      <c r="P302" s="155"/>
      <c r="Q302" s="646" t="s">
        <v>154</v>
      </c>
      <c r="R302" s="646"/>
      <c r="S302" s="646"/>
      <c r="T302" s="646"/>
      <c r="U302" s="646"/>
      <c r="V302" s="156">
        <v>8</v>
      </c>
      <c r="W302" s="156">
        <v>8</v>
      </c>
      <c r="X302" s="156">
        <v>8</v>
      </c>
      <c r="Y302" s="156">
        <f>+C298</f>
        <v>11</v>
      </c>
      <c r="Z302" s="154"/>
      <c r="AA302" s="157"/>
      <c r="AB302" s="157"/>
      <c r="AC302" s="157"/>
      <c r="AD302" s="158"/>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7"/>
      <c r="BB302" s="157"/>
      <c r="BC302" s="157"/>
      <c r="BD302" s="157"/>
      <c r="BE302" s="47"/>
      <c r="BF302" s="94"/>
      <c r="BG302" s="95"/>
      <c r="BH302" s="95"/>
      <c r="BI302" s="50"/>
    </row>
    <row r="303" spans="1:61" ht="20.100000000000001" hidden="1" customHeight="1" x14ac:dyDescent="0.25">
      <c r="A303" s="271"/>
      <c r="B303" s="272"/>
      <c r="C303" s="107"/>
      <c r="D303" s="273"/>
      <c r="E303" s="273"/>
      <c r="F303" s="154"/>
      <c r="G303" s="154"/>
      <c r="H303" s="154"/>
      <c r="I303" s="155"/>
      <c r="J303" s="154"/>
      <c r="K303" s="155"/>
      <c r="L303" s="155"/>
      <c r="M303" s="155"/>
      <c r="N303" s="155"/>
      <c r="O303" s="155"/>
      <c r="P303" s="155"/>
      <c r="Q303" s="646" t="s">
        <v>155</v>
      </c>
      <c r="R303" s="646"/>
      <c r="S303" s="646"/>
      <c r="T303" s="646"/>
      <c r="U303" s="646"/>
      <c r="V303" s="161">
        <v>8</v>
      </c>
      <c r="W303" s="161">
        <v>8</v>
      </c>
      <c r="X303" s="161"/>
      <c r="Y303" s="161"/>
      <c r="Z303" s="154"/>
      <c r="AA303" s="157"/>
      <c r="AB303" s="157"/>
      <c r="AC303" s="157"/>
      <c r="AD303" s="158"/>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47"/>
      <c r="BF303" s="94"/>
      <c r="BG303" s="95"/>
      <c r="BH303" s="95"/>
    </row>
    <row r="304" spans="1:61" ht="20.100000000000001" hidden="1" customHeight="1" x14ac:dyDescent="0.25">
      <c r="A304" s="271"/>
      <c r="B304" s="272"/>
      <c r="C304" s="107"/>
      <c r="D304" s="273"/>
      <c r="E304" s="273"/>
      <c r="F304" s="154"/>
      <c r="G304" s="154"/>
      <c r="H304" s="154"/>
      <c r="I304" s="155"/>
      <c r="J304" s="154"/>
      <c r="K304" s="155"/>
      <c r="L304" s="155"/>
      <c r="M304" s="155"/>
      <c r="N304" s="155"/>
      <c r="O304" s="155"/>
      <c r="P304" s="155"/>
      <c r="Q304" s="646" t="s">
        <v>156</v>
      </c>
      <c r="R304" s="646"/>
      <c r="S304" s="646"/>
      <c r="T304" s="646"/>
      <c r="U304" s="646"/>
      <c r="V304" s="161">
        <v>0</v>
      </c>
      <c r="W304" s="161">
        <v>8</v>
      </c>
      <c r="X304" s="161"/>
      <c r="Y304" s="161"/>
      <c r="Z304" s="154"/>
      <c r="AA304" s="157"/>
      <c r="AB304" s="157"/>
      <c r="AC304" s="157"/>
      <c r="AD304" s="158"/>
      <c r="AE304" s="157"/>
      <c r="AF304" s="157"/>
      <c r="AG304" s="157"/>
      <c r="AH304" s="157"/>
      <c r="AI304" s="157"/>
      <c r="AJ304" s="157"/>
      <c r="AK304" s="157"/>
      <c r="AL304" s="157"/>
      <c r="AM304" s="157"/>
      <c r="AN304" s="157"/>
      <c r="AO304" s="157"/>
      <c r="AP304" s="157"/>
      <c r="AQ304" s="157"/>
      <c r="AR304" s="157"/>
      <c r="AS304" s="157"/>
      <c r="AT304" s="157"/>
      <c r="AU304" s="48"/>
      <c r="AV304" s="48"/>
      <c r="AW304" s="48"/>
      <c r="AX304" s="48"/>
      <c r="AY304" s="48"/>
      <c r="AZ304" s="48"/>
      <c r="BA304" s="48"/>
      <c r="BB304" s="48"/>
      <c r="BC304" s="48"/>
      <c r="BD304" s="48"/>
      <c r="BE304" s="47"/>
      <c r="BF304" s="94"/>
      <c r="BG304" s="95"/>
      <c r="BH304" s="95"/>
    </row>
    <row r="305" spans="1:61" ht="20.100000000000001" hidden="1" customHeight="1" x14ac:dyDescent="0.25">
      <c r="A305" s="271"/>
      <c r="B305" s="272"/>
      <c r="C305" s="107"/>
      <c r="D305" s="273"/>
      <c r="E305" s="273"/>
      <c r="F305" s="154"/>
      <c r="G305" s="154"/>
      <c r="H305" s="154"/>
      <c r="I305" s="155"/>
      <c r="J305" s="154"/>
      <c r="K305" s="155"/>
      <c r="L305" s="155"/>
      <c r="M305" s="155"/>
      <c r="N305" s="155"/>
      <c r="O305" s="155"/>
      <c r="P305" s="155"/>
      <c r="Q305" s="646" t="s">
        <v>157</v>
      </c>
      <c r="R305" s="646"/>
      <c r="S305" s="646"/>
      <c r="T305" s="646"/>
      <c r="U305" s="647"/>
      <c r="V305" s="161">
        <f>+V302-V303</f>
        <v>0</v>
      </c>
      <c r="W305" s="161">
        <f>+W302-W303</f>
        <v>0</v>
      </c>
      <c r="X305" s="161">
        <f>+X302-X303</f>
        <v>8</v>
      </c>
      <c r="Y305" s="161">
        <f>+Y302-Y303</f>
        <v>11</v>
      </c>
      <c r="Z305" s="157"/>
      <c r="AA305" s="157"/>
      <c r="AB305" s="157"/>
      <c r="AC305" s="157"/>
      <c r="AD305" s="158"/>
      <c r="AE305" s="157"/>
      <c r="AF305" s="157"/>
      <c r="AG305" s="157"/>
      <c r="AH305" s="157"/>
      <c r="AI305" s="157"/>
      <c r="AJ305" s="157"/>
      <c r="AK305" s="157"/>
      <c r="AL305" s="157"/>
      <c r="AM305" s="157"/>
      <c r="AN305" s="157"/>
      <c r="AO305" s="157"/>
      <c r="AP305" s="157"/>
      <c r="AQ305" s="157"/>
      <c r="AR305" s="157"/>
      <c r="AS305" s="157"/>
      <c r="AT305" s="157"/>
      <c r="AU305" s="48"/>
      <c r="AV305" s="48"/>
      <c r="AW305" s="48"/>
      <c r="AX305" s="48"/>
      <c r="AY305" s="48"/>
      <c r="AZ305" s="48"/>
      <c r="BA305" s="48"/>
      <c r="BB305" s="48"/>
      <c r="BC305" s="48"/>
      <c r="BD305" s="48"/>
      <c r="BE305" s="47"/>
      <c r="BF305" s="94"/>
      <c r="BG305" s="95"/>
      <c r="BH305" s="95"/>
    </row>
    <row r="306" spans="1:61" ht="20.100000000000001" hidden="1" customHeight="1" x14ac:dyDescent="0.25">
      <c r="A306" s="271"/>
      <c r="B306" s="272"/>
      <c r="C306" s="107"/>
      <c r="D306" s="273"/>
      <c r="E306" s="273"/>
      <c r="F306" s="154"/>
      <c r="G306" s="154"/>
      <c r="H306" s="154"/>
      <c r="I306" s="155"/>
      <c r="J306" s="154"/>
      <c r="K306" s="155"/>
      <c r="L306" s="155"/>
      <c r="M306" s="155"/>
      <c r="N306" s="155"/>
      <c r="O306" s="155"/>
      <c r="P306" s="155"/>
      <c r="Q306" s="646" t="s">
        <v>158</v>
      </c>
      <c r="R306" s="646"/>
      <c r="S306" s="646"/>
      <c r="T306" s="646"/>
      <c r="U306" s="646"/>
      <c r="V306" s="156">
        <f>+V302</f>
        <v>8</v>
      </c>
      <c r="W306" s="156">
        <f>+W302</f>
        <v>8</v>
      </c>
      <c r="X306" s="156">
        <f>+X302</f>
        <v>8</v>
      </c>
      <c r="Y306" s="156">
        <f>+Y302</f>
        <v>11</v>
      </c>
      <c r="Z306" s="157"/>
      <c r="AA306" s="157"/>
      <c r="AB306" s="157"/>
      <c r="AC306" s="157"/>
      <c r="AD306" s="158"/>
      <c r="AE306" s="157"/>
      <c r="AF306" s="157"/>
      <c r="AG306" s="157"/>
      <c r="AH306" s="157"/>
      <c r="AI306" s="157"/>
      <c r="AJ306" s="157"/>
      <c r="AK306" s="157"/>
      <c r="AL306" s="157"/>
      <c r="AM306" s="157"/>
      <c r="AN306" s="157"/>
      <c r="AO306" s="157"/>
      <c r="AP306" s="157"/>
      <c r="AQ306" s="157"/>
      <c r="AR306" s="157"/>
      <c r="AS306" s="157"/>
      <c r="AT306" s="157"/>
      <c r="AU306" s="48"/>
      <c r="AV306" s="48"/>
      <c r="AW306" s="48"/>
      <c r="AX306" s="48"/>
      <c r="AY306" s="48"/>
      <c r="AZ306" s="48"/>
      <c r="BA306" s="48"/>
      <c r="BB306" s="48"/>
      <c r="BC306" s="48"/>
      <c r="BD306" s="48"/>
      <c r="BE306" s="47"/>
      <c r="BF306" s="94"/>
      <c r="BG306" s="95"/>
      <c r="BH306" s="95"/>
    </row>
    <row r="307" spans="1:61" ht="20.100000000000001" hidden="1" customHeight="1" x14ac:dyDescent="0.25">
      <c r="A307" s="271"/>
      <c r="B307" s="272"/>
      <c r="C307" s="107"/>
      <c r="D307" s="273"/>
      <c r="E307" s="273"/>
      <c r="F307" s="154"/>
      <c r="G307" s="154"/>
      <c r="H307" s="154"/>
      <c r="I307" s="155"/>
      <c r="J307" s="154"/>
      <c r="K307" s="155"/>
      <c r="L307" s="155"/>
      <c r="M307" s="155"/>
      <c r="N307" s="155"/>
      <c r="O307" s="155"/>
      <c r="P307" s="155"/>
      <c r="Q307" s="646" t="s">
        <v>159</v>
      </c>
      <c r="R307" s="646"/>
      <c r="S307" s="646"/>
      <c r="T307" s="646"/>
      <c r="U307" s="646"/>
      <c r="V307" s="161">
        <v>5</v>
      </c>
      <c r="W307" s="161">
        <f>4+2</f>
        <v>6</v>
      </c>
      <c r="X307" s="161"/>
      <c r="Y307" s="161"/>
      <c r="Z307" s="157"/>
      <c r="AA307" s="157"/>
      <c r="AB307" s="157"/>
      <c r="AC307" s="157"/>
      <c r="AD307" s="158"/>
      <c r="AE307" s="157"/>
      <c r="AF307" s="157"/>
      <c r="AG307" s="157"/>
      <c r="AH307" s="157"/>
      <c r="AI307" s="157"/>
      <c r="AJ307" s="157"/>
      <c r="AK307" s="157"/>
      <c r="AL307" s="157"/>
      <c r="AM307" s="157"/>
      <c r="AN307" s="157"/>
      <c r="AO307" s="157"/>
      <c r="AP307" s="157"/>
      <c r="AQ307" s="157"/>
      <c r="AR307" s="157"/>
      <c r="AS307" s="157"/>
      <c r="AT307" s="157"/>
      <c r="AU307" s="48"/>
      <c r="AV307" s="48"/>
      <c r="AW307" s="48"/>
      <c r="AX307" s="48"/>
      <c r="AY307" s="48"/>
      <c r="AZ307" s="48"/>
      <c r="BA307" s="48"/>
      <c r="BB307" s="48"/>
      <c r="BC307" s="48"/>
      <c r="BD307" s="48"/>
      <c r="BE307" s="47"/>
      <c r="BF307" s="94"/>
      <c r="BG307" s="95"/>
      <c r="BH307" s="95"/>
    </row>
    <row r="308" spans="1:61" ht="15" hidden="1" customHeight="1" x14ac:dyDescent="0.25">
      <c r="A308" s="79"/>
      <c r="B308" s="80"/>
      <c r="C308" s="88"/>
      <c r="D308" s="82"/>
      <c r="E308" s="82"/>
      <c r="F308" s="46"/>
      <c r="G308" s="46"/>
      <c r="H308" s="46"/>
      <c r="I308" s="46"/>
      <c r="J308" s="83"/>
      <c r="K308" s="46"/>
      <c r="L308" s="46"/>
      <c r="M308" s="46"/>
      <c r="N308" s="155"/>
      <c r="O308" s="155"/>
      <c r="P308" s="46"/>
      <c r="Q308" s="46"/>
      <c r="R308" s="46"/>
      <c r="S308" s="46"/>
      <c r="T308" s="46"/>
      <c r="U308" s="46"/>
      <c r="V308" s="73"/>
      <c r="W308" s="73"/>
      <c r="X308" s="73"/>
      <c r="Y308" s="73"/>
      <c r="Z308" s="46"/>
      <c r="AA308" s="46"/>
      <c r="AB308" s="46"/>
      <c r="AC308" s="46"/>
      <c r="AD308" s="47"/>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7"/>
      <c r="BF308" s="94"/>
      <c r="BG308" s="95"/>
      <c r="BH308" s="95"/>
    </row>
    <row r="309" spans="1:61" ht="20.100000000000001" hidden="1" customHeight="1" x14ac:dyDescent="0.25">
      <c r="A309" s="79"/>
      <c r="B309" s="80"/>
      <c r="C309" s="85"/>
      <c r="D309" s="109" t="s">
        <v>103</v>
      </c>
      <c r="E309" s="82"/>
      <c r="F309" s="46"/>
      <c r="G309" s="46"/>
      <c r="H309" s="46"/>
      <c r="I309" s="46"/>
      <c r="J309" s="83"/>
      <c r="K309" s="46"/>
      <c r="L309" s="46"/>
      <c r="M309" s="46"/>
      <c r="N309" s="46"/>
      <c r="O309" s="46"/>
      <c r="P309" s="46"/>
      <c r="Q309" s="46"/>
      <c r="R309" s="46"/>
      <c r="S309" s="46"/>
      <c r="T309" s="46"/>
      <c r="U309" s="46"/>
      <c r="V309" s="42"/>
      <c r="W309" s="46"/>
      <c r="X309" s="46"/>
      <c r="Y309" s="46"/>
      <c r="Z309" s="46"/>
      <c r="AA309" s="46"/>
      <c r="AB309" s="46"/>
      <c r="AC309" s="46"/>
      <c r="AD309" s="47"/>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9"/>
    </row>
    <row r="310" spans="1:61" s="38" customFormat="1" ht="20.100000000000001" customHeight="1" x14ac:dyDescent="0.25">
      <c r="A310" s="207"/>
      <c r="B310" s="208"/>
      <c r="C310" s="209"/>
      <c r="D310" s="1000" t="s">
        <v>27</v>
      </c>
      <c r="E310" s="1000"/>
      <c r="F310" s="1000"/>
      <c r="G310" s="1000"/>
      <c r="H310" s="1000"/>
      <c r="I310" s="1000"/>
      <c r="J310" s="1000"/>
      <c r="K310" s="1000"/>
      <c r="L310" s="1000"/>
      <c r="M310" s="1000"/>
      <c r="N310" s="1000"/>
      <c r="O310" s="1000"/>
      <c r="P310" s="1000"/>
      <c r="Q310" s="1000"/>
      <c r="R310" s="1000"/>
      <c r="S310" s="1000"/>
      <c r="T310" s="1000"/>
      <c r="U310" s="1000"/>
      <c r="V310" s="1000"/>
      <c r="W310" s="1000"/>
      <c r="X310" s="1000"/>
      <c r="Y310" s="1000"/>
      <c r="Z310" s="1000"/>
      <c r="AA310" s="1000"/>
      <c r="AB310" s="1000"/>
      <c r="AC310" s="1000"/>
      <c r="AD310" s="1000"/>
      <c r="AE310" s="1000"/>
      <c r="AF310" s="1000"/>
      <c r="AG310" s="1000"/>
      <c r="AH310" s="1000"/>
      <c r="AI310" s="1000"/>
      <c r="AJ310" s="1000"/>
      <c r="AK310" s="1000"/>
      <c r="AL310" s="1000"/>
      <c r="AM310" s="1000"/>
      <c r="AN310" s="1000"/>
      <c r="AO310" s="1000"/>
      <c r="AP310" s="1000"/>
      <c r="AQ310" s="1000"/>
      <c r="AR310" s="1000"/>
      <c r="AS310" s="1000"/>
      <c r="AT310" s="561" t="s">
        <v>104</v>
      </c>
      <c r="AU310" s="563"/>
      <c r="AV310" s="563"/>
      <c r="AW310" s="563"/>
      <c r="AX310" s="563"/>
      <c r="AY310" s="563"/>
      <c r="AZ310" s="563"/>
      <c r="BA310" s="563"/>
      <c r="BB310" s="562"/>
      <c r="BC310" s="561" t="s">
        <v>105</v>
      </c>
      <c r="BD310" s="562"/>
      <c r="BE310" s="35"/>
      <c r="BF310" s="32"/>
      <c r="BG310" s="210"/>
      <c r="BH310" s="210"/>
    </row>
    <row r="311" spans="1:61" ht="15" customHeight="1" x14ac:dyDescent="0.25">
      <c r="A311" s="79"/>
      <c r="B311" s="80"/>
      <c r="C311" s="85"/>
      <c r="D311" s="691" t="s">
        <v>106</v>
      </c>
      <c r="E311" s="691" t="s">
        <v>107</v>
      </c>
      <c r="F311" s="711" t="s">
        <v>108</v>
      </c>
      <c r="G311" s="691" t="s">
        <v>109</v>
      </c>
      <c r="H311" s="711" t="s">
        <v>110</v>
      </c>
      <c r="I311" s="691" t="s">
        <v>51</v>
      </c>
      <c r="J311" s="712" t="s">
        <v>111</v>
      </c>
      <c r="K311" s="691" t="s">
        <v>52</v>
      </c>
      <c r="L311" s="691"/>
      <c r="M311" s="691"/>
      <c r="N311" s="691" t="s">
        <v>53</v>
      </c>
      <c r="O311" s="691" t="s">
        <v>54</v>
      </c>
      <c r="P311" s="703" t="s">
        <v>55</v>
      </c>
      <c r="Q311" s="703" t="s">
        <v>56</v>
      </c>
      <c r="R311" s="703" t="s">
        <v>57</v>
      </c>
      <c r="S311" s="703" t="s">
        <v>58</v>
      </c>
      <c r="T311" s="703" t="s">
        <v>59</v>
      </c>
      <c r="U311" s="691" t="s">
        <v>60</v>
      </c>
      <c r="V311" s="691"/>
      <c r="W311" s="691"/>
      <c r="X311" s="691"/>
      <c r="Y311" s="691"/>
      <c r="Z311" s="704" t="s">
        <v>61</v>
      </c>
      <c r="AA311" s="705"/>
      <c r="AB311" s="705"/>
      <c r="AC311" s="706"/>
      <c r="AD311" s="707" t="s">
        <v>62</v>
      </c>
      <c r="AE311" s="708"/>
      <c r="AF311" s="709"/>
      <c r="AG311" s="695" t="s">
        <v>63</v>
      </c>
      <c r="AH311" s="695" t="s">
        <v>64</v>
      </c>
      <c r="AI311" s="695" t="s">
        <v>65</v>
      </c>
      <c r="AJ311" s="691" t="s">
        <v>66</v>
      </c>
      <c r="AK311" s="691"/>
      <c r="AL311" s="691"/>
      <c r="AM311" s="691"/>
      <c r="AN311" s="691"/>
      <c r="AO311" s="691"/>
      <c r="AP311" s="691"/>
      <c r="AQ311" s="691"/>
      <c r="AR311" s="691"/>
      <c r="AS311" s="691"/>
      <c r="AT311" s="558" t="s">
        <v>60</v>
      </c>
      <c r="AU311" s="569" t="s">
        <v>112</v>
      </c>
      <c r="AV311" s="570"/>
      <c r="AW311" s="570"/>
      <c r="AX311" s="571"/>
      <c r="AY311" s="569" t="s">
        <v>113</v>
      </c>
      <c r="AZ311" s="570"/>
      <c r="BA311" s="570"/>
      <c r="BB311" s="571"/>
      <c r="BC311" s="584" t="s">
        <v>114</v>
      </c>
      <c r="BD311" s="587" t="s">
        <v>102</v>
      </c>
      <c r="BE311" s="48"/>
      <c r="BF311" s="49"/>
    </row>
    <row r="312" spans="1:61" ht="15" customHeight="1" x14ac:dyDescent="0.25">
      <c r="A312" s="79"/>
      <c r="B312" s="80"/>
      <c r="C312" s="85"/>
      <c r="D312" s="691"/>
      <c r="E312" s="691"/>
      <c r="F312" s="711"/>
      <c r="G312" s="691"/>
      <c r="H312" s="711"/>
      <c r="I312" s="691"/>
      <c r="J312" s="712"/>
      <c r="K312" s="691"/>
      <c r="L312" s="691"/>
      <c r="M312" s="691"/>
      <c r="N312" s="691"/>
      <c r="O312" s="691"/>
      <c r="P312" s="703"/>
      <c r="Q312" s="703"/>
      <c r="R312" s="703"/>
      <c r="S312" s="703"/>
      <c r="T312" s="703"/>
      <c r="U312" s="691" t="s">
        <v>67</v>
      </c>
      <c r="V312" s="691"/>
      <c r="W312" s="691"/>
      <c r="X312" s="691"/>
      <c r="Y312" s="691"/>
      <c r="Z312" s="692" t="s">
        <v>67</v>
      </c>
      <c r="AA312" s="693"/>
      <c r="AB312" s="693"/>
      <c r="AC312" s="694"/>
      <c r="AD312" s="695" t="s">
        <v>68</v>
      </c>
      <c r="AE312" s="695" t="s">
        <v>69</v>
      </c>
      <c r="AF312" s="695" t="s">
        <v>70</v>
      </c>
      <c r="AG312" s="696"/>
      <c r="AH312" s="696"/>
      <c r="AI312" s="696"/>
      <c r="AJ312" s="691"/>
      <c r="AK312" s="691"/>
      <c r="AL312" s="691"/>
      <c r="AM312" s="691"/>
      <c r="AN312" s="691"/>
      <c r="AO312" s="691"/>
      <c r="AP312" s="691"/>
      <c r="AQ312" s="691"/>
      <c r="AR312" s="691"/>
      <c r="AS312" s="691"/>
      <c r="AT312" s="559"/>
      <c r="AU312" s="572"/>
      <c r="AV312" s="573"/>
      <c r="AW312" s="573"/>
      <c r="AX312" s="574"/>
      <c r="AY312" s="572"/>
      <c r="AZ312" s="573"/>
      <c r="BA312" s="573"/>
      <c r="BB312" s="574"/>
      <c r="BC312" s="585"/>
      <c r="BD312" s="588"/>
      <c r="BE312" s="48"/>
      <c r="BF312" s="49"/>
    </row>
    <row r="313" spans="1:61" s="95" customFormat="1" ht="24" customHeight="1" thickBot="1" x14ac:dyDescent="0.3">
      <c r="A313" s="86"/>
      <c r="B313" s="87"/>
      <c r="C313" s="88"/>
      <c r="D313" s="691"/>
      <c r="E313" s="691"/>
      <c r="F313" s="711"/>
      <c r="G313" s="691"/>
      <c r="H313" s="711"/>
      <c r="I313" s="691"/>
      <c r="J313" s="712"/>
      <c r="K313" s="89" t="s">
        <v>71</v>
      </c>
      <c r="L313" s="89" t="s">
        <v>115</v>
      </c>
      <c r="M313" s="89" t="s">
        <v>72</v>
      </c>
      <c r="N313" s="691"/>
      <c r="O313" s="691"/>
      <c r="P313" s="703"/>
      <c r="Q313" s="703"/>
      <c r="R313" s="703"/>
      <c r="S313" s="703"/>
      <c r="T313" s="703"/>
      <c r="U313" s="90" t="s">
        <v>73</v>
      </c>
      <c r="V313" s="89">
        <v>1</v>
      </c>
      <c r="W313" s="91">
        <v>2</v>
      </c>
      <c r="X313" s="91">
        <v>3</v>
      </c>
      <c r="Y313" s="110">
        <v>4</v>
      </c>
      <c r="Z313" s="162">
        <v>1</v>
      </c>
      <c r="AA313" s="110">
        <v>2</v>
      </c>
      <c r="AB313" s="110">
        <v>3</v>
      </c>
      <c r="AC313" s="110">
        <v>4</v>
      </c>
      <c r="AD313" s="696"/>
      <c r="AE313" s="696"/>
      <c r="AF313" s="696"/>
      <c r="AG313" s="696"/>
      <c r="AH313" s="696"/>
      <c r="AI313" s="697"/>
      <c r="AJ313" s="89" t="s">
        <v>74</v>
      </c>
      <c r="AK313" s="91" t="s">
        <v>75</v>
      </c>
      <c r="AL313" s="91" t="s">
        <v>76</v>
      </c>
      <c r="AM313" s="91" t="s">
        <v>77</v>
      </c>
      <c r="AN313" s="92" t="s">
        <v>78</v>
      </c>
      <c r="AO313" s="92" t="s">
        <v>79</v>
      </c>
      <c r="AP313" s="92" t="s">
        <v>80</v>
      </c>
      <c r="AQ313" s="92" t="s">
        <v>81</v>
      </c>
      <c r="AR313" s="93" t="s">
        <v>82</v>
      </c>
      <c r="AS313" s="93" t="s">
        <v>83</v>
      </c>
      <c r="AT313" s="560"/>
      <c r="AU313" s="217" t="s">
        <v>116</v>
      </c>
      <c r="AV313" s="217" t="s">
        <v>117</v>
      </c>
      <c r="AW313" s="217" t="s">
        <v>118</v>
      </c>
      <c r="AX313" s="217" t="s">
        <v>119</v>
      </c>
      <c r="AY313" s="217" t="s">
        <v>116</v>
      </c>
      <c r="AZ313" s="217" t="s">
        <v>117</v>
      </c>
      <c r="BA313" s="217" t="s">
        <v>118</v>
      </c>
      <c r="BB313" s="217" t="s">
        <v>119</v>
      </c>
      <c r="BC313" s="586"/>
      <c r="BD313" s="589"/>
      <c r="BE313" s="48"/>
      <c r="BF313" s="49"/>
    </row>
    <row r="314" spans="1:61" s="227" customFormat="1" ht="45" customHeight="1" x14ac:dyDescent="0.2">
      <c r="A314" s="675"/>
      <c r="B314" s="664"/>
      <c r="C314" s="665">
        <v>1</v>
      </c>
      <c r="D314" s="999" t="s">
        <v>27</v>
      </c>
      <c r="E314" s="912" t="s">
        <v>192</v>
      </c>
      <c r="F314" s="915">
        <v>1</v>
      </c>
      <c r="G314" s="736" t="s">
        <v>531</v>
      </c>
      <c r="H314" s="915">
        <v>1</v>
      </c>
      <c r="I314" s="736" t="s">
        <v>532</v>
      </c>
      <c r="J314" s="990">
        <v>0.5</v>
      </c>
      <c r="K314" s="736" t="s">
        <v>533</v>
      </c>
      <c r="L314" s="736" t="s">
        <v>534</v>
      </c>
      <c r="M314" s="722" t="str">
        <f t="shared" ref="M314" si="258">CONCATENATE(U314,"/",U315)</f>
        <v xml:space="preserve">No. de actos inscritos y/o desanotados con
información consistente en el
CMC/No. de actos sujetos a registro
en el periodo </v>
      </c>
      <c r="N314" s="722" t="s">
        <v>295</v>
      </c>
      <c r="O314" s="722" t="s">
        <v>89</v>
      </c>
      <c r="P314" s="761">
        <v>0.1</v>
      </c>
      <c r="Q314" s="993">
        <v>1</v>
      </c>
      <c r="R314" s="993">
        <v>1</v>
      </c>
      <c r="S314" s="993">
        <v>0.9</v>
      </c>
      <c r="T314" s="658" t="s">
        <v>151</v>
      </c>
      <c r="U314" s="112" t="s">
        <v>535</v>
      </c>
      <c r="V314" s="259"/>
      <c r="W314" s="259"/>
      <c r="X314" s="259"/>
      <c r="Y314" s="259"/>
      <c r="Z314" s="299"/>
      <c r="AA314" s="299"/>
      <c r="AB314" s="299"/>
      <c r="AC314" s="299"/>
      <c r="AD314" s="997">
        <f>+AE314+AF314+AG314</f>
        <v>922432616</v>
      </c>
      <c r="AE314" s="998">
        <v>0</v>
      </c>
      <c r="AF314" s="998">
        <v>669401182</v>
      </c>
      <c r="AG314" s="998">
        <v>253031434</v>
      </c>
      <c r="AH314" s="996" t="s">
        <v>536</v>
      </c>
      <c r="AI314" s="996" t="s">
        <v>537</v>
      </c>
      <c r="AJ314" s="669" t="s">
        <v>94</v>
      </c>
      <c r="AK314" s="669"/>
      <c r="AL314" s="669"/>
      <c r="AM314" s="669" t="s">
        <v>94</v>
      </c>
      <c r="AN314" s="669"/>
      <c r="AO314" s="669" t="s">
        <v>94</v>
      </c>
      <c r="AP314" s="669"/>
      <c r="AQ314" s="669" t="s">
        <v>94</v>
      </c>
      <c r="AR314" s="669"/>
      <c r="AS314" s="669"/>
      <c r="AT314" s="190" t="s">
        <v>129</v>
      </c>
      <c r="AU314" s="267">
        <f t="shared" ref="AU314:BB314" si="259">+V316*$J$314</f>
        <v>0</v>
      </c>
      <c r="AV314" s="267">
        <f t="shared" si="259"/>
        <v>0</v>
      </c>
      <c r="AW314" s="267">
        <f t="shared" si="259"/>
        <v>0</v>
      </c>
      <c r="AX314" s="267">
        <f t="shared" si="259"/>
        <v>0</v>
      </c>
      <c r="AY314" s="267">
        <f t="shared" si="259"/>
        <v>0</v>
      </c>
      <c r="AZ314" s="267">
        <f t="shared" si="259"/>
        <v>0</v>
      </c>
      <c r="BA314" s="267">
        <f t="shared" si="259"/>
        <v>0</v>
      </c>
      <c r="BB314" s="267">
        <f t="shared" si="259"/>
        <v>0</v>
      </c>
      <c r="BC314" s="605">
        <f>+BB316</f>
        <v>0</v>
      </c>
      <c r="BD314" s="608">
        <f>+BC314</f>
        <v>0</v>
      </c>
      <c r="BE314" s="191"/>
      <c r="BF314" s="192"/>
      <c r="BG314" s="193"/>
      <c r="BH314" s="193"/>
      <c r="BI314" s="120"/>
    </row>
    <row r="315" spans="1:61" s="227" customFormat="1" ht="45" customHeight="1" thickBot="1" x14ac:dyDescent="0.25">
      <c r="A315" s="675"/>
      <c r="B315" s="664"/>
      <c r="C315" s="665"/>
      <c r="D315" s="999"/>
      <c r="E315" s="913"/>
      <c r="F315" s="916"/>
      <c r="G315" s="737"/>
      <c r="H315" s="916"/>
      <c r="I315" s="737"/>
      <c r="J315" s="991"/>
      <c r="K315" s="737"/>
      <c r="L315" s="737"/>
      <c r="M315" s="723"/>
      <c r="N315" s="723"/>
      <c r="O315" s="723"/>
      <c r="P315" s="762"/>
      <c r="Q315" s="994"/>
      <c r="R315" s="994"/>
      <c r="S315" s="994"/>
      <c r="T315" s="659"/>
      <c r="U315" s="300" t="s">
        <v>538</v>
      </c>
      <c r="V315" s="301">
        <v>540</v>
      </c>
      <c r="W315" s="301">
        <v>538</v>
      </c>
      <c r="X315" s="301">
        <v>0.01</v>
      </c>
      <c r="Y315" s="301">
        <v>0.01</v>
      </c>
      <c r="Z315" s="301">
        <f>+V315</f>
        <v>540</v>
      </c>
      <c r="AA315" s="301">
        <f>+V315+W315</f>
        <v>1078</v>
      </c>
      <c r="AB315" s="301">
        <f>+V315+W315+X315</f>
        <v>1078.01</v>
      </c>
      <c r="AC315" s="301">
        <f>+V315+W315+X315+Y315</f>
        <v>1078.02</v>
      </c>
      <c r="AD315" s="997"/>
      <c r="AE315" s="998"/>
      <c r="AF315" s="998"/>
      <c r="AG315" s="998"/>
      <c r="AH315" s="996"/>
      <c r="AI315" s="996"/>
      <c r="AJ315" s="670"/>
      <c r="AK315" s="670"/>
      <c r="AL315" s="670"/>
      <c r="AM315" s="670"/>
      <c r="AN315" s="670"/>
      <c r="AO315" s="670"/>
      <c r="AP315" s="670"/>
      <c r="AQ315" s="670"/>
      <c r="AR315" s="670"/>
      <c r="AS315" s="670"/>
      <c r="AT315" s="190" t="s">
        <v>131</v>
      </c>
      <c r="AU315" s="203">
        <f>+(AU314+AU317+AU320)*$H$314</f>
        <v>0</v>
      </c>
      <c r="AV315" s="203">
        <f t="shared" ref="AV315:BB315" si="260">+(AV314+AV317+AV320)*$H$314</f>
        <v>0</v>
      </c>
      <c r="AW315" s="203">
        <f t="shared" si="260"/>
        <v>0</v>
      </c>
      <c r="AX315" s="203">
        <f t="shared" si="260"/>
        <v>0</v>
      </c>
      <c r="AY315" s="203">
        <f t="shared" si="260"/>
        <v>0</v>
      </c>
      <c r="AZ315" s="203">
        <f t="shared" si="260"/>
        <v>0</v>
      </c>
      <c r="BA315" s="203">
        <f t="shared" si="260"/>
        <v>0</v>
      </c>
      <c r="BB315" s="203">
        <f t="shared" si="260"/>
        <v>0</v>
      </c>
      <c r="BC315" s="606"/>
      <c r="BD315" s="609"/>
      <c r="BE315" s="191"/>
      <c r="BF315" s="192"/>
      <c r="BG315" s="193"/>
      <c r="BH315" s="193"/>
      <c r="BI315" s="120"/>
    </row>
    <row r="316" spans="1:61" s="227" customFormat="1" ht="24.95" customHeight="1" thickBot="1" x14ac:dyDescent="0.25">
      <c r="A316" s="675"/>
      <c r="B316" s="664"/>
      <c r="C316" s="665"/>
      <c r="D316" s="999"/>
      <c r="E316" s="913"/>
      <c r="F316" s="916"/>
      <c r="G316" s="737"/>
      <c r="H316" s="916"/>
      <c r="I316" s="738"/>
      <c r="J316" s="992"/>
      <c r="K316" s="738"/>
      <c r="L316" s="738"/>
      <c r="M316" s="724"/>
      <c r="N316" s="724"/>
      <c r="O316" s="724"/>
      <c r="P316" s="763"/>
      <c r="Q316" s="995"/>
      <c r="R316" s="995"/>
      <c r="S316" s="995"/>
      <c r="T316" s="660"/>
      <c r="U316" s="125" t="s">
        <v>96</v>
      </c>
      <c r="V316" s="196">
        <f t="shared" ref="V316:AC316" si="261">IF((V314/V315)&lt;$I$8,(V314/V315),IF((V314/V315)&lt;$J$8,(V314/V315),IF((V314/V315)&lt;$J$9,(V314/V315),IF((V314/V315)&gt;=$J$9,$J$9))))</f>
        <v>0</v>
      </c>
      <c r="W316" s="196">
        <f t="shared" si="261"/>
        <v>0</v>
      </c>
      <c r="X316" s="196">
        <f t="shared" si="261"/>
        <v>0</v>
      </c>
      <c r="Y316" s="196">
        <f t="shared" si="261"/>
        <v>0</v>
      </c>
      <c r="Z316" s="196">
        <f t="shared" si="261"/>
        <v>0</v>
      </c>
      <c r="AA316" s="196">
        <f t="shared" si="261"/>
        <v>0</v>
      </c>
      <c r="AB316" s="196">
        <f t="shared" si="261"/>
        <v>0</v>
      </c>
      <c r="AC316" s="196">
        <f t="shared" si="261"/>
        <v>0</v>
      </c>
      <c r="AD316" s="997"/>
      <c r="AE316" s="998"/>
      <c r="AF316" s="998"/>
      <c r="AG316" s="998"/>
      <c r="AH316" s="996"/>
      <c r="AI316" s="996"/>
      <c r="AJ316" s="671"/>
      <c r="AK316" s="671"/>
      <c r="AL316" s="671"/>
      <c r="AM316" s="671"/>
      <c r="AN316" s="671"/>
      <c r="AO316" s="671"/>
      <c r="AP316" s="671"/>
      <c r="AQ316" s="671"/>
      <c r="AR316" s="671"/>
      <c r="AS316" s="671"/>
      <c r="AT316" s="190" t="s">
        <v>132</v>
      </c>
      <c r="AU316" s="203">
        <f>+AU315*$H$314</f>
        <v>0</v>
      </c>
      <c r="AV316" s="203">
        <f t="shared" ref="AV316:BB316" si="262">+AV315*$H$314</f>
        <v>0</v>
      </c>
      <c r="AW316" s="203">
        <f t="shared" si="262"/>
        <v>0</v>
      </c>
      <c r="AX316" s="203">
        <f t="shared" si="262"/>
        <v>0</v>
      </c>
      <c r="AY316" s="203">
        <f t="shared" si="262"/>
        <v>0</v>
      </c>
      <c r="AZ316" s="203">
        <f t="shared" si="262"/>
        <v>0</v>
      </c>
      <c r="BA316" s="203">
        <f t="shared" si="262"/>
        <v>0</v>
      </c>
      <c r="BB316" s="127">
        <f t="shared" si="262"/>
        <v>0</v>
      </c>
      <c r="BC316" s="606"/>
      <c r="BD316" s="609"/>
      <c r="BE316" s="191"/>
      <c r="BF316" s="192"/>
      <c r="BG316" s="193"/>
      <c r="BH316" s="193"/>
    </row>
    <row r="317" spans="1:61" s="227" customFormat="1" ht="45" customHeight="1" x14ac:dyDescent="0.2">
      <c r="A317" s="675"/>
      <c r="B317" s="664"/>
      <c r="C317" s="665">
        <v>2</v>
      </c>
      <c r="D317" s="999"/>
      <c r="E317" s="913"/>
      <c r="F317" s="916"/>
      <c r="G317" s="737"/>
      <c r="H317" s="916"/>
      <c r="I317" s="736" t="s">
        <v>539</v>
      </c>
      <c r="J317" s="990">
        <v>0.25</v>
      </c>
      <c r="K317" s="736" t="s">
        <v>540</v>
      </c>
      <c r="L317" s="736" t="s">
        <v>541</v>
      </c>
      <c r="M317" s="722" t="str">
        <f t="shared" ref="M317" si="263">CONCATENATE(U317,"/",U318)</f>
        <v>No. de actos anotados con información consistente en el CMC/No. de actos sujetos a registro en el periodo</v>
      </c>
      <c r="N317" s="722" t="s">
        <v>295</v>
      </c>
      <c r="O317" s="722" t="s">
        <v>89</v>
      </c>
      <c r="P317" s="761">
        <v>0.05</v>
      </c>
      <c r="Q317" s="993">
        <v>1</v>
      </c>
      <c r="R317" s="993">
        <v>1</v>
      </c>
      <c r="S317" s="993">
        <v>0.9</v>
      </c>
      <c r="T317" s="658" t="s">
        <v>151</v>
      </c>
      <c r="U317" s="112" t="s">
        <v>542</v>
      </c>
      <c r="V317" s="302"/>
      <c r="W317" s="302"/>
      <c r="X317" s="302"/>
      <c r="Y317" s="302"/>
      <c r="Z317" s="303"/>
      <c r="AA317" s="303"/>
      <c r="AB317" s="303"/>
      <c r="AC317" s="303"/>
      <c r="AD317" s="997"/>
      <c r="AE317" s="998"/>
      <c r="AF317" s="998"/>
      <c r="AG317" s="998"/>
      <c r="AH317" s="996"/>
      <c r="AI317" s="996"/>
      <c r="AJ317" s="669" t="s">
        <v>94</v>
      </c>
      <c r="AK317" s="669"/>
      <c r="AL317" s="669"/>
      <c r="AM317" s="669" t="s">
        <v>94</v>
      </c>
      <c r="AN317" s="669"/>
      <c r="AO317" s="669" t="s">
        <v>94</v>
      </c>
      <c r="AP317" s="669"/>
      <c r="AQ317" s="669" t="s">
        <v>94</v>
      </c>
      <c r="AR317" s="669"/>
      <c r="AS317" s="669"/>
      <c r="AT317" s="190" t="s">
        <v>129</v>
      </c>
      <c r="AU317" s="203">
        <f t="shared" ref="AU317:BB317" si="264">+V319*$J$317</f>
        <v>0</v>
      </c>
      <c r="AV317" s="203">
        <f t="shared" si="264"/>
        <v>0</v>
      </c>
      <c r="AW317" s="203">
        <f t="shared" si="264"/>
        <v>0</v>
      </c>
      <c r="AX317" s="203">
        <f t="shared" si="264"/>
        <v>0</v>
      </c>
      <c r="AY317" s="203">
        <f t="shared" si="264"/>
        <v>0</v>
      </c>
      <c r="AZ317" s="203">
        <f t="shared" si="264"/>
        <v>0</v>
      </c>
      <c r="BA317" s="203">
        <f t="shared" si="264"/>
        <v>0</v>
      </c>
      <c r="BB317" s="203">
        <f t="shared" si="264"/>
        <v>0</v>
      </c>
      <c r="BC317" s="606"/>
      <c r="BD317" s="609"/>
      <c r="BE317" s="191"/>
      <c r="BF317" s="192"/>
      <c r="BG317" s="193"/>
      <c r="BH317" s="193"/>
    </row>
    <row r="318" spans="1:61" s="227" customFormat="1" ht="45" customHeight="1" x14ac:dyDescent="0.2">
      <c r="A318" s="675"/>
      <c r="B318" s="664"/>
      <c r="C318" s="665"/>
      <c r="D318" s="999"/>
      <c r="E318" s="913"/>
      <c r="F318" s="916"/>
      <c r="G318" s="737"/>
      <c r="H318" s="916"/>
      <c r="I318" s="737"/>
      <c r="J318" s="991"/>
      <c r="K318" s="737"/>
      <c r="L318" s="737"/>
      <c r="M318" s="723"/>
      <c r="N318" s="723"/>
      <c r="O318" s="723"/>
      <c r="P318" s="762"/>
      <c r="Q318" s="994"/>
      <c r="R318" s="994"/>
      <c r="S318" s="994"/>
      <c r="T318" s="659"/>
      <c r="U318" s="300" t="s">
        <v>543</v>
      </c>
      <c r="V318" s="301">
        <v>457</v>
      </c>
      <c r="W318" s="301">
        <v>170</v>
      </c>
      <c r="X318" s="301">
        <v>0.01</v>
      </c>
      <c r="Y318" s="301">
        <v>0.01</v>
      </c>
      <c r="Z318" s="301">
        <f>+V318</f>
        <v>457</v>
      </c>
      <c r="AA318" s="301">
        <f>+V318+W318</f>
        <v>627</v>
      </c>
      <c r="AB318" s="301">
        <f>+V318+W318+X318</f>
        <v>627.01</v>
      </c>
      <c r="AC318" s="301">
        <f>+V318+W318+X318+Y318</f>
        <v>627.02</v>
      </c>
      <c r="AD318" s="997"/>
      <c r="AE318" s="998"/>
      <c r="AF318" s="998"/>
      <c r="AG318" s="998"/>
      <c r="AH318" s="996"/>
      <c r="AI318" s="996"/>
      <c r="AJ318" s="670"/>
      <c r="AK318" s="670"/>
      <c r="AL318" s="670"/>
      <c r="AM318" s="670"/>
      <c r="AN318" s="670"/>
      <c r="AO318" s="670"/>
      <c r="AP318" s="670"/>
      <c r="AQ318" s="670"/>
      <c r="AR318" s="670"/>
      <c r="AS318" s="670"/>
      <c r="AT318" s="190" t="s">
        <v>131</v>
      </c>
      <c r="AU318" s="575"/>
      <c r="AV318" s="576"/>
      <c r="AW318" s="576"/>
      <c r="AX318" s="576"/>
      <c r="AY318" s="576"/>
      <c r="AZ318" s="576"/>
      <c r="BA318" s="576"/>
      <c r="BB318" s="577"/>
      <c r="BC318" s="606"/>
      <c r="BD318" s="609"/>
      <c r="BE318" s="191"/>
      <c r="BF318" s="192"/>
      <c r="BG318" s="193"/>
      <c r="BH318" s="193"/>
    </row>
    <row r="319" spans="1:61" s="227" customFormat="1" ht="24.95" customHeight="1" x14ac:dyDescent="0.2">
      <c r="A319" s="675"/>
      <c r="B319" s="664"/>
      <c r="C319" s="665"/>
      <c r="D319" s="999"/>
      <c r="E319" s="913"/>
      <c r="F319" s="916"/>
      <c r="G319" s="737"/>
      <c r="H319" s="916"/>
      <c r="I319" s="738"/>
      <c r="J319" s="992"/>
      <c r="K319" s="738"/>
      <c r="L319" s="738"/>
      <c r="M319" s="724"/>
      <c r="N319" s="724"/>
      <c r="O319" s="724"/>
      <c r="P319" s="763"/>
      <c r="Q319" s="995"/>
      <c r="R319" s="995"/>
      <c r="S319" s="995"/>
      <c r="T319" s="660"/>
      <c r="U319" s="125" t="s">
        <v>96</v>
      </c>
      <c r="V319" s="196">
        <f>IF((V317/V318)&lt;$I$8,(V317/V318),IF((V317/V318)&lt;$J$8,(V317/V318),IF((V317/V318)&lt;$J$8,(V317/V318),IF((V317/V318)&gt;=$J$9,$J$9))))</f>
        <v>0</v>
      </c>
      <c r="W319" s="196">
        <f t="shared" ref="W319:AC319" si="265">IF((W317/W318)&lt;$I$8,(W317/W318),IF((W317/W318)&lt;$J$8,(W317/W318),IF((W317/W318)&lt;$J$8,(W317/W318),IF((W317/W318)&gt;=$J$9,$J$9))))</f>
        <v>0</v>
      </c>
      <c r="X319" s="196">
        <f t="shared" si="265"/>
        <v>0</v>
      </c>
      <c r="Y319" s="196">
        <f t="shared" si="265"/>
        <v>0</v>
      </c>
      <c r="Z319" s="196">
        <f t="shared" si="265"/>
        <v>0</v>
      </c>
      <c r="AA319" s="196">
        <f t="shared" si="265"/>
        <v>0</v>
      </c>
      <c r="AB319" s="196">
        <f t="shared" si="265"/>
        <v>0</v>
      </c>
      <c r="AC319" s="196">
        <f t="shared" si="265"/>
        <v>0</v>
      </c>
      <c r="AD319" s="997"/>
      <c r="AE319" s="998"/>
      <c r="AF319" s="998"/>
      <c r="AG319" s="998"/>
      <c r="AH319" s="996"/>
      <c r="AI319" s="996"/>
      <c r="AJ319" s="671"/>
      <c r="AK319" s="671"/>
      <c r="AL319" s="671"/>
      <c r="AM319" s="671"/>
      <c r="AN319" s="671"/>
      <c r="AO319" s="671"/>
      <c r="AP319" s="671"/>
      <c r="AQ319" s="671"/>
      <c r="AR319" s="671"/>
      <c r="AS319" s="671"/>
      <c r="AT319" s="190" t="s">
        <v>132</v>
      </c>
      <c r="AU319" s="575"/>
      <c r="AV319" s="576"/>
      <c r="AW319" s="576"/>
      <c r="AX319" s="576"/>
      <c r="AY319" s="576"/>
      <c r="AZ319" s="576"/>
      <c r="BA319" s="576"/>
      <c r="BB319" s="577"/>
      <c r="BC319" s="606"/>
      <c r="BD319" s="609"/>
      <c r="BE319" s="191"/>
      <c r="BF319" s="192"/>
      <c r="BG319" s="193"/>
      <c r="BH319" s="193"/>
    </row>
    <row r="320" spans="1:61" s="227" customFormat="1" ht="45" customHeight="1" x14ac:dyDescent="0.2">
      <c r="A320" s="675"/>
      <c r="B320" s="664"/>
      <c r="C320" s="665">
        <v>3</v>
      </c>
      <c r="D320" s="999"/>
      <c r="E320" s="913"/>
      <c r="F320" s="916"/>
      <c r="G320" s="737"/>
      <c r="H320" s="916"/>
      <c r="I320" s="736" t="s">
        <v>544</v>
      </c>
      <c r="J320" s="990">
        <v>0.25</v>
      </c>
      <c r="K320" s="736" t="s">
        <v>545</v>
      </c>
      <c r="L320" s="736" t="s">
        <v>546</v>
      </c>
      <c r="M320" s="722" t="str">
        <f t="shared" ref="M320" si="266">CONCATENATE(U320,"/",U321)</f>
        <v>No. de actos inscritos y/o desanotados dentro de los 15 dias siguientes al recibo/No. de actos inscritos y/o desanotados que fueron recibidos por el Grupo de Catastro sin inconsistencias</v>
      </c>
      <c r="N320" s="722" t="s">
        <v>295</v>
      </c>
      <c r="O320" s="722" t="s">
        <v>89</v>
      </c>
      <c r="P320" s="761">
        <v>0.05</v>
      </c>
      <c r="Q320" s="993">
        <v>1</v>
      </c>
      <c r="R320" s="993">
        <v>1</v>
      </c>
      <c r="S320" s="993">
        <v>0.7</v>
      </c>
      <c r="T320" s="658" t="s">
        <v>151</v>
      </c>
      <c r="U320" s="112" t="s">
        <v>547</v>
      </c>
      <c r="V320" s="302"/>
      <c r="W320" s="302"/>
      <c r="X320" s="302"/>
      <c r="Y320" s="302"/>
      <c r="Z320" s="303"/>
      <c r="AA320" s="303"/>
      <c r="AB320" s="303"/>
      <c r="AC320" s="303"/>
      <c r="AD320" s="997"/>
      <c r="AE320" s="998"/>
      <c r="AF320" s="998"/>
      <c r="AG320" s="998"/>
      <c r="AH320" s="996"/>
      <c r="AI320" s="996"/>
      <c r="AJ320" s="669" t="s">
        <v>94</v>
      </c>
      <c r="AK320" s="669"/>
      <c r="AL320" s="669"/>
      <c r="AM320" s="669" t="s">
        <v>94</v>
      </c>
      <c r="AN320" s="669"/>
      <c r="AO320" s="669" t="s">
        <v>94</v>
      </c>
      <c r="AP320" s="669"/>
      <c r="AQ320" s="669" t="s">
        <v>94</v>
      </c>
      <c r="AR320" s="669"/>
      <c r="AS320" s="669"/>
      <c r="AT320" s="190" t="s">
        <v>129</v>
      </c>
      <c r="AU320" s="203">
        <f t="shared" ref="AU320:BB320" si="267">+V322*$J$320</f>
        <v>0</v>
      </c>
      <c r="AV320" s="203">
        <f t="shared" si="267"/>
        <v>0</v>
      </c>
      <c r="AW320" s="203">
        <f t="shared" si="267"/>
        <v>0</v>
      </c>
      <c r="AX320" s="203">
        <f t="shared" si="267"/>
        <v>0</v>
      </c>
      <c r="AY320" s="203">
        <f t="shared" si="267"/>
        <v>0</v>
      </c>
      <c r="AZ320" s="203">
        <f t="shared" si="267"/>
        <v>0</v>
      </c>
      <c r="BA320" s="203">
        <f t="shared" si="267"/>
        <v>0</v>
      </c>
      <c r="BB320" s="203">
        <f t="shared" si="267"/>
        <v>0</v>
      </c>
      <c r="BC320" s="606"/>
      <c r="BD320" s="609"/>
      <c r="BE320" s="191"/>
      <c r="BF320" s="192"/>
      <c r="BG320" s="193"/>
      <c r="BH320" s="193"/>
    </row>
    <row r="321" spans="1:74" s="227" customFormat="1" ht="45" customHeight="1" x14ac:dyDescent="0.2">
      <c r="A321" s="675"/>
      <c r="B321" s="664"/>
      <c r="C321" s="665"/>
      <c r="D321" s="999"/>
      <c r="E321" s="913"/>
      <c r="F321" s="916"/>
      <c r="G321" s="737"/>
      <c r="H321" s="916"/>
      <c r="I321" s="737"/>
      <c r="J321" s="991"/>
      <c r="K321" s="737"/>
      <c r="L321" s="737"/>
      <c r="M321" s="723"/>
      <c r="N321" s="723"/>
      <c r="O321" s="723"/>
      <c r="P321" s="762"/>
      <c r="Q321" s="994"/>
      <c r="R321" s="994"/>
      <c r="S321" s="994"/>
      <c r="T321" s="659"/>
      <c r="U321" s="304" t="s">
        <v>548</v>
      </c>
      <c r="V321" s="301">
        <v>742</v>
      </c>
      <c r="W321" s="301">
        <v>740</v>
      </c>
      <c r="X321" s="301">
        <v>0.01</v>
      </c>
      <c r="Y321" s="301">
        <v>0.01</v>
      </c>
      <c r="Z321" s="301">
        <f>+V321</f>
        <v>742</v>
      </c>
      <c r="AA321" s="301">
        <f>+V321+W321</f>
        <v>1482</v>
      </c>
      <c r="AB321" s="301">
        <f>+V321+W321+X321</f>
        <v>1482.01</v>
      </c>
      <c r="AC321" s="301">
        <f>+V321+W321+X321+Y321</f>
        <v>1482.02</v>
      </c>
      <c r="AD321" s="997"/>
      <c r="AE321" s="998"/>
      <c r="AF321" s="998"/>
      <c r="AG321" s="998"/>
      <c r="AH321" s="996"/>
      <c r="AI321" s="996"/>
      <c r="AJ321" s="670"/>
      <c r="AK321" s="670"/>
      <c r="AL321" s="670"/>
      <c r="AM321" s="670"/>
      <c r="AN321" s="670"/>
      <c r="AO321" s="670"/>
      <c r="AP321" s="670"/>
      <c r="AQ321" s="670"/>
      <c r="AR321" s="670"/>
      <c r="AS321" s="670"/>
      <c r="AT321" s="190" t="s">
        <v>131</v>
      </c>
      <c r="AU321" s="575"/>
      <c r="AV321" s="576"/>
      <c r="AW321" s="576"/>
      <c r="AX321" s="576"/>
      <c r="AY321" s="576"/>
      <c r="AZ321" s="576"/>
      <c r="BA321" s="576"/>
      <c r="BB321" s="577"/>
      <c r="BC321" s="606"/>
      <c r="BD321" s="609"/>
      <c r="BE321" s="191"/>
      <c r="BF321" s="192"/>
      <c r="BG321" s="193"/>
      <c r="BH321" s="193"/>
    </row>
    <row r="322" spans="1:74" s="227" customFormat="1" ht="24.95" customHeight="1" thickBot="1" x14ac:dyDescent="0.25">
      <c r="A322" s="675"/>
      <c r="B322" s="664"/>
      <c r="C322" s="665"/>
      <c r="D322" s="999"/>
      <c r="E322" s="914"/>
      <c r="F322" s="917"/>
      <c r="G322" s="738"/>
      <c r="H322" s="917"/>
      <c r="I322" s="738"/>
      <c r="J322" s="992"/>
      <c r="K322" s="738"/>
      <c r="L322" s="738"/>
      <c r="M322" s="724"/>
      <c r="N322" s="724"/>
      <c r="O322" s="724"/>
      <c r="P322" s="763"/>
      <c r="Q322" s="995"/>
      <c r="R322" s="995"/>
      <c r="S322" s="995"/>
      <c r="T322" s="660"/>
      <c r="U322" s="125" t="s">
        <v>96</v>
      </c>
      <c r="V322" s="196">
        <f>IF((V320/V321)&lt;$I$8,(V320/V321),IF((V320/V321)&lt;$J$8,(V320/V321),IF((V320/V321)&lt;$J$8,(V320/V321),IF((V320/V321)&gt;=$J$9,$J$9))))</f>
        <v>0</v>
      </c>
      <c r="W322" s="196">
        <f t="shared" ref="W322:AC322" si="268">IF((W320/W321)&lt;$I$8,(W320/W321),IF((W320/W321)&lt;$J$8,(W320/W321),IF((W320/W321)&lt;$J$8,(W320/W321),IF((W320/W321)&gt;=$J$9,$J$9))))</f>
        <v>0</v>
      </c>
      <c r="X322" s="196">
        <f t="shared" si="268"/>
        <v>0</v>
      </c>
      <c r="Y322" s="196">
        <f t="shared" si="268"/>
        <v>0</v>
      </c>
      <c r="Z322" s="196">
        <f t="shared" si="268"/>
        <v>0</v>
      </c>
      <c r="AA322" s="196">
        <f t="shared" si="268"/>
        <v>0</v>
      </c>
      <c r="AB322" s="196">
        <f t="shared" si="268"/>
        <v>0</v>
      </c>
      <c r="AC322" s="196">
        <f t="shared" si="268"/>
        <v>0</v>
      </c>
      <c r="AD322" s="997"/>
      <c r="AE322" s="998"/>
      <c r="AF322" s="998"/>
      <c r="AG322" s="998"/>
      <c r="AH322" s="996"/>
      <c r="AI322" s="996"/>
      <c r="AJ322" s="671"/>
      <c r="AK322" s="671"/>
      <c r="AL322" s="671"/>
      <c r="AM322" s="671"/>
      <c r="AN322" s="671"/>
      <c r="AO322" s="671"/>
      <c r="AP322" s="671"/>
      <c r="AQ322" s="671"/>
      <c r="AR322" s="671"/>
      <c r="AS322" s="671"/>
      <c r="AT322" s="190" t="s">
        <v>132</v>
      </c>
      <c r="AU322" s="599"/>
      <c r="AV322" s="600"/>
      <c r="AW322" s="600"/>
      <c r="AX322" s="600"/>
      <c r="AY322" s="600"/>
      <c r="AZ322" s="600"/>
      <c r="BA322" s="600"/>
      <c r="BB322" s="601"/>
      <c r="BC322" s="607"/>
      <c r="BD322" s="610"/>
      <c r="BE322" s="191"/>
      <c r="BF322" s="192"/>
      <c r="BG322" s="193"/>
      <c r="BH322" s="193"/>
    </row>
    <row r="323" spans="1:74" s="159" customFormat="1" ht="24.95" hidden="1" customHeight="1" thickBot="1" x14ac:dyDescent="0.25">
      <c r="A323" s="44"/>
      <c r="B323" s="151"/>
      <c r="C323" s="178">
        <f>+C320+C301</f>
        <v>58</v>
      </c>
      <c r="D323" s="144"/>
      <c r="E323" s="67"/>
      <c r="F323" s="154"/>
      <c r="G323" s="154"/>
      <c r="H323" s="154"/>
      <c r="I323" s="155"/>
      <c r="J323" s="154"/>
      <c r="K323" s="155"/>
      <c r="L323" s="155"/>
      <c r="M323" s="214"/>
      <c r="N323" s="214"/>
      <c r="O323" s="214"/>
      <c r="P323" s="154"/>
      <c r="Q323" s="154"/>
      <c r="R323" s="154"/>
      <c r="S323" s="154"/>
      <c r="T323" s="154"/>
      <c r="U323" s="214"/>
      <c r="V323" s="157"/>
      <c r="W323" s="157"/>
      <c r="X323" s="157"/>
      <c r="Y323" s="157"/>
      <c r="Z323" s="157"/>
      <c r="AA323" s="157"/>
      <c r="AB323" s="157"/>
      <c r="AC323" s="157"/>
      <c r="AD323" s="158"/>
      <c r="AE323" s="157"/>
      <c r="AF323" s="157"/>
      <c r="AG323" s="157"/>
      <c r="AH323" s="157"/>
      <c r="AI323" s="157"/>
      <c r="AJ323" s="145">
        <f>COUNTA(AJ314:AJ322)</f>
        <v>3</v>
      </c>
      <c r="AK323" s="145">
        <f t="shared" ref="AK323:AS323" si="269">COUNTA(AK314:AK322)</f>
        <v>0</v>
      </c>
      <c r="AL323" s="145">
        <f t="shared" si="269"/>
        <v>0</v>
      </c>
      <c r="AM323" s="145">
        <f t="shared" si="269"/>
        <v>3</v>
      </c>
      <c r="AN323" s="145">
        <f t="shared" si="269"/>
        <v>0</v>
      </c>
      <c r="AO323" s="145">
        <f t="shared" si="269"/>
        <v>3</v>
      </c>
      <c r="AP323" s="145">
        <f t="shared" si="269"/>
        <v>0</v>
      </c>
      <c r="AQ323" s="145">
        <f t="shared" si="269"/>
        <v>3</v>
      </c>
      <c r="AR323" s="145">
        <f t="shared" si="269"/>
        <v>0</v>
      </c>
      <c r="AS323" s="145">
        <f t="shared" si="269"/>
        <v>0</v>
      </c>
      <c r="AT323" s="157"/>
      <c r="AU323" s="267">
        <f>+AU316</f>
        <v>0</v>
      </c>
      <c r="AV323" s="267">
        <f t="shared" ref="AV323:BB323" si="270">+AV316</f>
        <v>0</v>
      </c>
      <c r="AW323" s="267">
        <f t="shared" si="270"/>
        <v>0</v>
      </c>
      <c r="AX323" s="268">
        <f t="shared" si="270"/>
        <v>0</v>
      </c>
      <c r="AY323" s="205">
        <f t="shared" si="270"/>
        <v>0</v>
      </c>
      <c r="AZ323" s="269">
        <f t="shared" si="270"/>
        <v>0</v>
      </c>
      <c r="BA323" s="267">
        <f t="shared" si="270"/>
        <v>0</v>
      </c>
      <c r="BB323" s="267">
        <f t="shared" si="270"/>
        <v>0</v>
      </c>
      <c r="BC323" s="157"/>
      <c r="BD323" s="157"/>
      <c r="BE323" s="157"/>
      <c r="BF323" s="157"/>
      <c r="BG323" s="193"/>
      <c r="BH323" s="193"/>
      <c r="BI323" s="227"/>
      <c r="BJ323" s="227"/>
      <c r="BK323" s="227"/>
      <c r="BL323" s="227"/>
      <c r="BM323" s="227"/>
      <c r="BN323" s="227"/>
      <c r="BO323" s="227"/>
      <c r="BP323" s="227"/>
      <c r="BQ323" s="227"/>
      <c r="BR323" s="227"/>
      <c r="BS323" s="227"/>
      <c r="BT323" s="227"/>
      <c r="BU323" s="227"/>
      <c r="BV323" s="227"/>
    </row>
    <row r="324" spans="1:74" s="159" customFormat="1" ht="20.100000000000001" hidden="1" customHeight="1" x14ac:dyDescent="0.2">
      <c r="A324" s="271"/>
      <c r="B324" s="272"/>
      <c r="C324" s="107"/>
      <c r="D324" s="273"/>
      <c r="E324" s="273"/>
      <c r="F324" s="154"/>
      <c r="G324" s="154"/>
      <c r="H324" s="154"/>
      <c r="I324" s="155"/>
      <c r="J324" s="154"/>
      <c r="K324" s="155"/>
      <c r="L324" s="155"/>
      <c r="M324" s="155"/>
      <c r="N324" s="155"/>
      <c r="O324" s="155"/>
      <c r="P324" s="155"/>
      <c r="Q324" s="646" t="s">
        <v>154</v>
      </c>
      <c r="R324" s="646"/>
      <c r="S324" s="646"/>
      <c r="T324" s="646"/>
      <c r="U324" s="646"/>
      <c r="V324" s="156">
        <v>3</v>
      </c>
      <c r="W324" s="156">
        <v>3</v>
      </c>
      <c r="X324" s="156">
        <v>3</v>
      </c>
      <c r="Y324" s="156">
        <v>3</v>
      </c>
      <c r="Z324" s="157"/>
      <c r="AA324" s="157"/>
      <c r="AB324" s="157"/>
      <c r="AC324" s="157"/>
      <c r="AD324" s="158"/>
      <c r="AE324" s="157"/>
      <c r="AF324" s="157"/>
      <c r="AG324" s="157"/>
      <c r="AH324" s="157"/>
      <c r="AI324" s="157"/>
      <c r="AJ324" s="157"/>
      <c r="AK324" s="157"/>
      <c r="AL324" s="157"/>
      <c r="AM324" s="157"/>
      <c r="AN324" s="157"/>
      <c r="AO324" s="157"/>
      <c r="AP324" s="157"/>
      <c r="AQ324" s="157"/>
      <c r="AR324" s="157"/>
      <c r="AS324" s="157"/>
      <c r="AT324" s="157"/>
      <c r="AU324" s="48"/>
      <c r="AV324" s="48"/>
      <c r="AW324" s="48"/>
      <c r="AX324" s="48"/>
      <c r="AY324" s="48"/>
      <c r="AZ324" s="48"/>
      <c r="BA324" s="48"/>
      <c r="BB324" s="48"/>
      <c r="BC324" s="48"/>
      <c r="BD324" s="48"/>
      <c r="BE324" s="47"/>
      <c r="BF324" s="94"/>
      <c r="BG324" s="193"/>
      <c r="BH324" s="193"/>
      <c r="BI324" s="227"/>
      <c r="BJ324" s="227"/>
      <c r="BK324" s="227"/>
      <c r="BL324" s="227"/>
      <c r="BM324" s="227"/>
      <c r="BN324" s="227"/>
      <c r="BO324" s="227"/>
      <c r="BP324" s="227"/>
      <c r="BQ324" s="227"/>
      <c r="BR324" s="227"/>
      <c r="BS324" s="227"/>
      <c r="BT324" s="227"/>
      <c r="BU324" s="227"/>
      <c r="BV324" s="227"/>
    </row>
    <row r="325" spans="1:74" ht="20.100000000000001" hidden="1" customHeight="1" x14ac:dyDescent="0.2">
      <c r="A325" s="271"/>
      <c r="B325" s="272"/>
      <c r="C325" s="107"/>
      <c r="D325" s="273"/>
      <c r="E325" s="273"/>
      <c r="F325" s="154"/>
      <c r="G325" s="154"/>
      <c r="H325" s="154"/>
      <c r="I325" s="155"/>
      <c r="J325" s="154"/>
      <c r="K325" s="155"/>
      <c r="L325" s="155"/>
      <c r="M325" s="155"/>
      <c r="N325" s="155"/>
      <c r="O325" s="155"/>
      <c r="P325" s="155"/>
      <c r="Q325" s="646" t="s">
        <v>155</v>
      </c>
      <c r="R325" s="646"/>
      <c r="S325" s="646"/>
      <c r="T325" s="646"/>
      <c r="U325" s="646"/>
      <c r="V325" s="161">
        <v>3</v>
      </c>
      <c r="W325" s="161">
        <v>3</v>
      </c>
      <c r="X325" s="161"/>
      <c r="Y325" s="161"/>
      <c r="Z325" s="157"/>
      <c r="AA325" s="157"/>
      <c r="AB325" s="157"/>
      <c r="AC325" s="157"/>
      <c r="AD325" s="158"/>
      <c r="AE325" s="157"/>
      <c r="AF325" s="157"/>
      <c r="AG325" s="157"/>
      <c r="AH325" s="157"/>
      <c r="AI325" s="157"/>
      <c r="AJ325" s="157"/>
      <c r="AK325" s="157"/>
      <c r="AL325" s="157"/>
      <c r="AM325" s="157"/>
      <c r="AN325" s="157"/>
      <c r="AO325" s="157"/>
      <c r="AP325" s="157"/>
      <c r="AQ325" s="157"/>
      <c r="AR325" s="157"/>
      <c r="AS325" s="157"/>
      <c r="AT325" s="157"/>
      <c r="AU325" s="48"/>
      <c r="AV325" s="48"/>
      <c r="AW325" s="48"/>
      <c r="AX325" s="48"/>
      <c r="AY325" s="48"/>
      <c r="AZ325" s="48"/>
      <c r="BA325" s="48"/>
      <c r="BB325" s="48"/>
      <c r="BC325" s="48"/>
      <c r="BD325" s="48"/>
      <c r="BE325" s="47"/>
      <c r="BF325" s="94"/>
      <c r="BG325" s="193"/>
      <c r="BH325" s="193"/>
      <c r="BI325" s="227"/>
      <c r="BJ325" s="227"/>
      <c r="BK325" s="227"/>
      <c r="BL325" s="227"/>
      <c r="BM325" s="227"/>
      <c r="BN325" s="227"/>
      <c r="BO325" s="227"/>
      <c r="BP325" s="227"/>
      <c r="BQ325" s="227"/>
      <c r="BR325" s="227"/>
      <c r="BS325" s="227"/>
      <c r="BT325" s="227"/>
      <c r="BU325" s="227"/>
      <c r="BV325" s="227"/>
    </row>
    <row r="326" spans="1:74" ht="20.100000000000001" hidden="1" customHeight="1" x14ac:dyDescent="0.2">
      <c r="A326" s="271"/>
      <c r="B326" s="272"/>
      <c r="C326" s="107"/>
      <c r="D326" s="273"/>
      <c r="E326" s="273"/>
      <c r="F326" s="154"/>
      <c r="G326" s="154" t="s">
        <v>549</v>
      </c>
      <c r="H326" s="154"/>
      <c r="I326" s="155"/>
      <c r="J326" s="154"/>
      <c r="K326" s="155"/>
      <c r="L326" s="155"/>
      <c r="M326" s="155"/>
      <c r="N326" s="155"/>
      <c r="O326" s="155"/>
      <c r="P326" s="155"/>
      <c r="Q326" s="646" t="s">
        <v>156</v>
      </c>
      <c r="R326" s="646"/>
      <c r="S326" s="646"/>
      <c r="T326" s="646"/>
      <c r="U326" s="646"/>
      <c r="V326" s="161">
        <v>0</v>
      </c>
      <c r="W326" s="161">
        <v>0</v>
      </c>
      <c r="X326" s="161"/>
      <c r="Y326" s="161"/>
      <c r="Z326" s="157"/>
      <c r="AA326" s="157"/>
      <c r="AB326" s="157"/>
      <c r="AC326" s="157"/>
      <c r="AD326" s="158"/>
      <c r="AE326" s="157"/>
      <c r="AF326" s="157"/>
      <c r="AG326" s="157"/>
      <c r="AH326" s="157"/>
      <c r="AI326" s="157"/>
      <c r="AJ326" s="157"/>
      <c r="AK326" s="157"/>
      <c r="AL326" s="157"/>
      <c r="AM326" s="157"/>
      <c r="AN326" s="157"/>
      <c r="AO326" s="157"/>
      <c r="AP326" s="157"/>
      <c r="AQ326" s="157"/>
      <c r="AR326" s="157"/>
      <c r="AS326" s="157"/>
      <c r="AT326" s="157"/>
      <c r="AU326" s="48"/>
      <c r="AV326" s="48"/>
      <c r="AW326" s="48"/>
      <c r="AX326" s="48"/>
      <c r="AY326" s="48"/>
      <c r="AZ326" s="48"/>
      <c r="BA326" s="48"/>
      <c r="BB326" s="48"/>
      <c r="BC326" s="48"/>
      <c r="BD326" s="48"/>
      <c r="BE326" s="47"/>
      <c r="BF326" s="94"/>
      <c r="BG326" s="193"/>
      <c r="BH326" s="193"/>
      <c r="BI326" s="227"/>
      <c r="BJ326" s="227"/>
      <c r="BK326" s="227"/>
      <c r="BL326" s="227"/>
      <c r="BM326" s="227"/>
      <c r="BN326" s="227"/>
      <c r="BO326" s="227"/>
      <c r="BP326" s="227"/>
      <c r="BQ326" s="227"/>
      <c r="BR326" s="227"/>
      <c r="BS326" s="227"/>
      <c r="BT326" s="227"/>
      <c r="BU326" s="227"/>
      <c r="BV326" s="227"/>
    </row>
    <row r="327" spans="1:74" ht="20.100000000000001" hidden="1" customHeight="1" x14ac:dyDescent="0.2">
      <c r="A327" s="271"/>
      <c r="B327" s="272"/>
      <c r="C327" s="107"/>
      <c r="D327" s="273"/>
      <c r="E327" s="273"/>
      <c r="F327" s="154"/>
      <c r="G327" s="154"/>
      <c r="H327" s="154"/>
      <c r="I327" s="155"/>
      <c r="J327" s="154"/>
      <c r="K327" s="155"/>
      <c r="L327" s="155"/>
      <c r="M327" s="155"/>
      <c r="N327" s="155"/>
      <c r="O327" s="155"/>
      <c r="P327" s="155"/>
      <c r="Q327" s="646" t="s">
        <v>157</v>
      </c>
      <c r="R327" s="646"/>
      <c r="S327" s="646"/>
      <c r="T327" s="646"/>
      <c r="U327" s="647"/>
      <c r="V327" s="161">
        <f>+V324-V325</f>
        <v>0</v>
      </c>
      <c r="W327" s="161">
        <f>+W324-W325</f>
        <v>0</v>
      </c>
      <c r="X327" s="161">
        <f>+X324-X325</f>
        <v>3</v>
      </c>
      <c r="Y327" s="161">
        <f>+Y324-Y325</f>
        <v>3</v>
      </c>
      <c r="Z327" s="157"/>
      <c r="AA327" s="157"/>
      <c r="AB327" s="157"/>
      <c r="AC327" s="157"/>
      <c r="AD327" s="158"/>
      <c r="AE327" s="157"/>
      <c r="AF327" s="157"/>
      <c r="AG327" s="157"/>
      <c r="AH327" s="157"/>
      <c r="AI327" s="157"/>
      <c r="AJ327" s="157"/>
      <c r="AK327" s="157"/>
      <c r="AL327" s="157"/>
      <c r="AM327" s="157"/>
      <c r="AN327" s="157"/>
      <c r="AO327" s="157"/>
      <c r="AP327" s="157"/>
      <c r="AQ327" s="157"/>
      <c r="AR327" s="157"/>
      <c r="AS327" s="157"/>
      <c r="AT327" s="157"/>
      <c r="AU327" s="48"/>
      <c r="AV327" s="48"/>
      <c r="AW327" s="48"/>
      <c r="AX327" s="48"/>
      <c r="AY327" s="48"/>
      <c r="AZ327" s="48"/>
      <c r="BA327" s="48"/>
      <c r="BB327" s="48"/>
      <c r="BC327" s="48"/>
      <c r="BD327" s="48"/>
      <c r="BE327" s="47"/>
      <c r="BF327" s="94"/>
      <c r="BG327" s="193"/>
      <c r="BH327" s="193"/>
      <c r="BI327" s="227"/>
      <c r="BJ327" s="227"/>
      <c r="BK327" s="227"/>
      <c r="BL327" s="227"/>
      <c r="BM327" s="227"/>
      <c r="BN327" s="227"/>
      <c r="BO327" s="227"/>
      <c r="BP327" s="227"/>
      <c r="BQ327" s="227"/>
      <c r="BR327" s="227"/>
      <c r="BS327" s="227"/>
      <c r="BT327" s="227"/>
      <c r="BU327" s="227"/>
      <c r="BV327" s="227"/>
    </row>
    <row r="328" spans="1:74" ht="20.100000000000001" hidden="1" customHeight="1" x14ac:dyDescent="0.2">
      <c r="A328" s="271"/>
      <c r="B328" s="272"/>
      <c r="C328" s="107"/>
      <c r="D328" s="273"/>
      <c r="E328" s="273"/>
      <c r="F328" s="154"/>
      <c r="G328" s="154"/>
      <c r="H328" s="154"/>
      <c r="I328" s="155"/>
      <c r="J328" s="154"/>
      <c r="K328" s="155"/>
      <c r="L328" s="155"/>
      <c r="M328" s="155"/>
      <c r="N328" s="155"/>
      <c r="O328" s="155"/>
      <c r="P328" s="155"/>
      <c r="Q328" s="646" t="s">
        <v>158</v>
      </c>
      <c r="R328" s="646"/>
      <c r="S328" s="646"/>
      <c r="T328" s="646"/>
      <c r="U328" s="646"/>
      <c r="V328" s="156">
        <f>+V324</f>
        <v>3</v>
      </c>
      <c r="W328" s="156">
        <f>+W324</f>
        <v>3</v>
      </c>
      <c r="X328" s="156">
        <f>+X324</f>
        <v>3</v>
      </c>
      <c r="Y328" s="156">
        <f>+Y324</f>
        <v>3</v>
      </c>
      <c r="Z328" s="157"/>
      <c r="AA328" s="157"/>
      <c r="AB328" s="157"/>
      <c r="AC328" s="157"/>
      <c r="AD328" s="158"/>
      <c r="AE328" s="157"/>
      <c r="AF328" s="157"/>
      <c r="AG328" s="157"/>
      <c r="AH328" s="157"/>
      <c r="AI328" s="157"/>
      <c r="AJ328" s="157"/>
      <c r="AK328" s="157"/>
      <c r="AL328" s="157"/>
      <c r="AM328" s="157"/>
      <c r="AN328" s="157"/>
      <c r="AO328" s="157"/>
      <c r="AP328" s="157"/>
      <c r="AQ328" s="157"/>
      <c r="AR328" s="157"/>
      <c r="AS328" s="157"/>
      <c r="AT328" s="157"/>
      <c r="AU328" s="48"/>
      <c r="AV328" s="48"/>
      <c r="AW328" s="48"/>
      <c r="AX328" s="48"/>
      <c r="AY328" s="48"/>
      <c r="AZ328" s="48"/>
      <c r="BA328" s="48"/>
      <c r="BB328" s="48"/>
      <c r="BC328" s="48"/>
      <c r="BD328" s="48"/>
      <c r="BE328" s="47"/>
      <c r="BF328" s="94"/>
      <c r="BG328" s="193"/>
      <c r="BH328" s="193"/>
      <c r="BI328" s="227"/>
      <c r="BJ328" s="227"/>
      <c r="BK328" s="227"/>
      <c r="BL328" s="227"/>
      <c r="BM328" s="227"/>
      <c r="BN328" s="227"/>
      <c r="BO328" s="227"/>
      <c r="BP328" s="227"/>
      <c r="BQ328" s="227"/>
      <c r="BR328" s="227"/>
      <c r="BS328" s="227"/>
      <c r="BT328" s="227"/>
      <c r="BU328" s="227"/>
      <c r="BV328" s="227"/>
    </row>
    <row r="329" spans="1:74" ht="20.100000000000001" hidden="1" customHeight="1" x14ac:dyDescent="0.2">
      <c r="A329" s="271"/>
      <c r="B329" s="272"/>
      <c r="C329" s="107"/>
      <c r="D329" s="273"/>
      <c r="E329" s="273"/>
      <c r="F329" s="154"/>
      <c r="G329" s="154"/>
      <c r="H329" s="154"/>
      <c r="I329" s="155"/>
      <c r="J329" s="154"/>
      <c r="K329" s="155"/>
      <c r="L329" s="155"/>
      <c r="M329" s="155"/>
      <c r="N329" s="155"/>
      <c r="O329" s="155"/>
      <c r="P329" s="155"/>
      <c r="Q329" s="646" t="s">
        <v>159</v>
      </c>
      <c r="R329" s="646"/>
      <c r="S329" s="646"/>
      <c r="T329" s="646"/>
      <c r="U329" s="646"/>
      <c r="V329" s="160">
        <v>3</v>
      </c>
      <c r="W329" s="161">
        <v>3</v>
      </c>
      <c r="X329" s="161"/>
      <c r="Y329" s="161"/>
      <c r="Z329" s="157"/>
      <c r="AA329" s="157"/>
      <c r="AB329" s="157"/>
      <c r="AC329" s="157"/>
      <c r="AD329" s="158"/>
      <c r="AE329" s="157"/>
      <c r="AF329" s="157"/>
      <c r="AG329" s="157"/>
      <c r="AH329" s="157"/>
      <c r="AI329" s="157"/>
      <c r="AJ329" s="157"/>
      <c r="AK329" s="157"/>
      <c r="AL329" s="157"/>
      <c r="AM329" s="157"/>
      <c r="AN329" s="157"/>
      <c r="AO329" s="157"/>
      <c r="AP329" s="157"/>
      <c r="AQ329" s="157"/>
      <c r="AR329" s="157"/>
      <c r="AS329" s="157"/>
      <c r="AT329" s="157"/>
      <c r="AU329" s="48"/>
      <c r="AV329" s="48"/>
      <c r="AW329" s="48"/>
      <c r="AX329" s="48"/>
      <c r="AY329" s="48"/>
      <c r="AZ329" s="48"/>
      <c r="BA329" s="48"/>
      <c r="BB329" s="48"/>
      <c r="BC329" s="48"/>
      <c r="BD329" s="48"/>
      <c r="BE329" s="47"/>
      <c r="BF329" s="94"/>
      <c r="BG329" s="193"/>
      <c r="BH329" s="193"/>
      <c r="BI329" s="227"/>
      <c r="BJ329" s="227"/>
      <c r="BK329" s="227"/>
      <c r="BL329" s="227"/>
      <c r="BM329" s="227"/>
      <c r="BN329" s="227"/>
      <c r="BO329" s="227"/>
      <c r="BP329" s="227"/>
      <c r="BQ329" s="227"/>
      <c r="BR329" s="227"/>
      <c r="BS329" s="227"/>
      <c r="BT329" s="227"/>
      <c r="BU329" s="227"/>
      <c r="BV329" s="227"/>
    </row>
    <row r="330" spans="1:74" ht="15" hidden="1" customHeight="1" x14ac:dyDescent="0.2">
      <c r="A330" s="79"/>
      <c r="B330" s="80"/>
      <c r="C330" s="88"/>
      <c r="D330" s="82"/>
      <c r="E330" s="82"/>
      <c r="F330" s="46"/>
      <c r="G330" s="46"/>
      <c r="H330" s="46"/>
      <c r="I330" s="46"/>
      <c r="J330" s="83"/>
      <c r="K330" s="46"/>
      <c r="L330" s="46"/>
      <c r="M330" s="46"/>
      <c r="N330" s="46"/>
      <c r="O330" s="46"/>
      <c r="P330" s="46"/>
      <c r="Q330" s="46"/>
      <c r="R330" s="46"/>
      <c r="S330" s="46"/>
      <c r="T330" s="46"/>
      <c r="U330" s="46"/>
      <c r="V330" s="924"/>
      <c r="W330" s="924"/>
      <c r="X330" s="73"/>
      <c r="Y330" s="73"/>
      <c r="Z330" s="46"/>
      <c r="AA330" s="46"/>
      <c r="AB330" s="46"/>
      <c r="AC330" s="46"/>
      <c r="AD330" s="47"/>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7"/>
      <c r="BF330" s="94"/>
      <c r="BG330" s="193"/>
      <c r="BH330" s="193"/>
      <c r="BI330" s="227"/>
      <c r="BJ330" s="227"/>
      <c r="BK330" s="227"/>
      <c r="BL330" s="227"/>
      <c r="BM330" s="227"/>
      <c r="BN330" s="227"/>
      <c r="BO330" s="227"/>
      <c r="BP330" s="227"/>
      <c r="BQ330" s="227"/>
      <c r="BR330" s="227"/>
      <c r="BS330" s="227"/>
      <c r="BT330" s="227"/>
      <c r="BU330" s="227"/>
      <c r="BV330" s="227"/>
    </row>
    <row r="331" spans="1:74" ht="20.100000000000001" hidden="1" customHeight="1" x14ac:dyDescent="0.25">
      <c r="A331" s="79" t="s">
        <v>549</v>
      </c>
      <c r="B331" s="80"/>
      <c r="C331" s="85"/>
      <c r="D331" s="109" t="s">
        <v>103</v>
      </c>
      <c r="E331" s="82"/>
      <c r="F331" s="46"/>
      <c r="G331" s="46"/>
      <c r="H331" s="46"/>
      <c r="I331" s="46"/>
      <c r="J331" s="83"/>
      <c r="K331" s="46"/>
      <c r="L331" s="46"/>
      <c r="M331" s="46"/>
      <c r="N331" s="46"/>
      <c r="O331" s="46"/>
      <c r="P331" s="46"/>
      <c r="Q331" s="46"/>
      <c r="R331" s="46"/>
      <c r="S331" s="46"/>
      <c r="T331" s="46"/>
      <c r="U331" s="46"/>
      <c r="V331" s="42"/>
      <c r="W331" s="46"/>
      <c r="X331" s="46"/>
      <c r="Y331" s="46"/>
      <c r="Z331" s="46" t="s">
        <v>549</v>
      </c>
      <c r="AA331" s="46"/>
      <c r="AB331" s="46"/>
      <c r="AC331" s="46"/>
      <c r="AD331" s="47"/>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9"/>
    </row>
    <row r="332" spans="1:74" s="38" customFormat="1" ht="20.100000000000001" customHeight="1" x14ac:dyDescent="0.25">
      <c r="A332" s="207"/>
      <c r="B332" s="208"/>
      <c r="C332" s="209"/>
      <c r="D332" s="987" t="s">
        <v>29</v>
      </c>
      <c r="E332" s="988"/>
      <c r="F332" s="988"/>
      <c r="G332" s="988"/>
      <c r="H332" s="988"/>
      <c r="I332" s="988"/>
      <c r="J332" s="988"/>
      <c r="K332" s="988"/>
      <c r="L332" s="988"/>
      <c r="M332" s="988"/>
      <c r="N332" s="988"/>
      <c r="O332" s="988"/>
      <c r="P332" s="988"/>
      <c r="Q332" s="988"/>
      <c r="R332" s="988"/>
      <c r="S332" s="988"/>
      <c r="T332" s="988"/>
      <c r="U332" s="988"/>
      <c r="V332" s="988"/>
      <c r="W332" s="988"/>
      <c r="X332" s="988"/>
      <c r="Y332" s="988"/>
      <c r="Z332" s="988"/>
      <c r="AA332" s="988"/>
      <c r="AB332" s="988"/>
      <c r="AC332" s="988"/>
      <c r="AD332" s="988"/>
      <c r="AE332" s="988"/>
      <c r="AF332" s="988"/>
      <c r="AG332" s="988"/>
      <c r="AH332" s="988"/>
      <c r="AI332" s="988"/>
      <c r="AJ332" s="988"/>
      <c r="AK332" s="988"/>
      <c r="AL332" s="988"/>
      <c r="AM332" s="988"/>
      <c r="AN332" s="988"/>
      <c r="AO332" s="988"/>
      <c r="AP332" s="988"/>
      <c r="AQ332" s="988"/>
      <c r="AR332" s="988"/>
      <c r="AS332" s="989"/>
      <c r="AT332" s="561" t="s">
        <v>104</v>
      </c>
      <c r="AU332" s="563"/>
      <c r="AV332" s="563"/>
      <c r="AW332" s="563"/>
      <c r="AX332" s="563"/>
      <c r="AY332" s="563"/>
      <c r="AZ332" s="563"/>
      <c r="BA332" s="563"/>
      <c r="BB332" s="562"/>
      <c r="BC332" s="561" t="s">
        <v>105</v>
      </c>
      <c r="BD332" s="562"/>
      <c r="BE332" s="36"/>
      <c r="BF332" s="37"/>
    </row>
    <row r="333" spans="1:74" ht="15" customHeight="1" x14ac:dyDescent="0.25">
      <c r="A333" s="79"/>
      <c r="B333" s="80"/>
      <c r="C333" s="85"/>
      <c r="D333" s="691" t="s">
        <v>106</v>
      </c>
      <c r="E333" s="691" t="s">
        <v>107</v>
      </c>
      <c r="F333" s="711" t="s">
        <v>108</v>
      </c>
      <c r="G333" s="691" t="s">
        <v>109</v>
      </c>
      <c r="H333" s="711" t="s">
        <v>110</v>
      </c>
      <c r="I333" s="691" t="s">
        <v>51</v>
      </c>
      <c r="J333" s="712" t="s">
        <v>111</v>
      </c>
      <c r="K333" s="691" t="s">
        <v>52</v>
      </c>
      <c r="L333" s="691"/>
      <c r="M333" s="691"/>
      <c r="N333" s="691" t="s">
        <v>53</v>
      </c>
      <c r="O333" s="691" t="s">
        <v>54</v>
      </c>
      <c r="P333" s="703" t="s">
        <v>55</v>
      </c>
      <c r="Q333" s="703" t="s">
        <v>56</v>
      </c>
      <c r="R333" s="703" t="s">
        <v>57</v>
      </c>
      <c r="S333" s="703" t="s">
        <v>58</v>
      </c>
      <c r="T333" s="703" t="s">
        <v>59</v>
      </c>
      <c r="U333" s="691" t="s">
        <v>60</v>
      </c>
      <c r="V333" s="691"/>
      <c r="W333" s="691"/>
      <c r="X333" s="691"/>
      <c r="Y333" s="691"/>
      <c r="Z333" s="704" t="s">
        <v>61</v>
      </c>
      <c r="AA333" s="705"/>
      <c r="AB333" s="705"/>
      <c r="AC333" s="706"/>
      <c r="AD333" s="707" t="s">
        <v>62</v>
      </c>
      <c r="AE333" s="708"/>
      <c r="AF333" s="709"/>
      <c r="AG333" s="695" t="s">
        <v>63</v>
      </c>
      <c r="AH333" s="695" t="s">
        <v>64</v>
      </c>
      <c r="AI333" s="695" t="s">
        <v>65</v>
      </c>
      <c r="AJ333" s="691" t="s">
        <v>66</v>
      </c>
      <c r="AK333" s="691"/>
      <c r="AL333" s="691"/>
      <c r="AM333" s="691"/>
      <c r="AN333" s="691"/>
      <c r="AO333" s="691"/>
      <c r="AP333" s="691"/>
      <c r="AQ333" s="691"/>
      <c r="AR333" s="691"/>
      <c r="AS333" s="691"/>
      <c r="AT333" s="558" t="s">
        <v>60</v>
      </c>
      <c r="AU333" s="569" t="s">
        <v>112</v>
      </c>
      <c r="AV333" s="570"/>
      <c r="AW333" s="570"/>
      <c r="AX333" s="571"/>
      <c r="AY333" s="569" t="s">
        <v>113</v>
      </c>
      <c r="AZ333" s="570"/>
      <c r="BA333" s="570"/>
      <c r="BB333" s="571"/>
      <c r="BC333" s="584" t="s">
        <v>114</v>
      </c>
      <c r="BD333" s="587" t="s">
        <v>102</v>
      </c>
      <c r="BE333" s="48"/>
      <c r="BF333" s="49"/>
    </row>
    <row r="334" spans="1:74" ht="15" customHeight="1" x14ac:dyDescent="0.25">
      <c r="A334" s="79"/>
      <c r="B334" s="80"/>
      <c r="C334" s="85"/>
      <c r="D334" s="691"/>
      <c r="E334" s="691"/>
      <c r="F334" s="711"/>
      <c r="G334" s="691"/>
      <c r="H334" s="711"/>
      <c r="I334" s="691"/>
      <c r="J334" s="712"/>
      <c r="K334" s="691"/>
      <c r="L334" s="691"/>
      <c r="M334" s="691"/>
      <c r="N334" s="691"/>
      <c r="O334" s="691"/>
      <c r="P334" s="703"/>
      <c r="Q334" s="703"/>
      <c r="R334" s="703"/>
      <c r="S334" s="703"/>
      <c r="T334" s="703"/>
      <c r="U334" s="691" t="s">
        <v>67</v>
      </c>
      <c r="V334" s="691"/>
      <c r="W334" s="691"/>
      <c r="X334" s="691"/>
      <c r="Y334" s="691"/>
      <c r="Z334" s="692" t="s">
        <v>67</v>
      </c>
      <c r="AA334" s="693"/>
      <c r="AB334" s="693"/>
      <c r="AC334" s="694"/>
      <c r="AD334" s="695" t="s">
        <v>68</v>
      </c>
      <c r="AE334" s="695" t="s">
        <v>69</v>
      </c>
      <c r="AF334" s="695" t="s">
        <v>70</v>
      </c>
      <c r="AG334" s="696"/>
      <c r="AH334" s="696"/>
      <c r="AI334" s="696"/>
      <c r="AJ334" s="691"/>
      <c r="AK334" s="691"/>
      <c r="AL334" s="691"/>
      <c r="AM334" s="691"/>
      <c r="AN334" s="691"/>
      <c r="AO334" s="691"/>
      <c r="AP334" s="691"/>
      <c r="AQ334" s="691"/>
      <c r="AR334" s="691"/>
      <c r="AS334" s="691"/>
      <c r="AT334" s="559"/>
      <c r="AU334" s="572"/>
      <c r="AV334" s="573"/>
      <c r="AW334" s="573"/>
      <c r="AX334" s="574"/>
      <c r="AY334" s="572"/>
      <c r="AZ334" s="573"/>
      <c r="BA334" s="573"/>
      <c r="BB334" s="574"/>
      <c r="BC334" s="585"/>
      <c r="BD334" s="588"/>
      <c r="BE334" s="48"/>
      <c r="BF334" s="49"/>
    </row>
    <row r="335" spans="1:74" s="95" customFormat="1" ht="24" customHeight="1" thickBot="1" x14ac:dyDescent="0.3">
      <c r="A335" s="86"/>
      <c r="B335" s="87"/>
      <c r="C335" s="88"/>
      <c r="D335" s="691"/>
      <c r="E335" s="691"/>
      <c r="F335" s="711"/>
      <c r="G335" s="691"/>
      <c r="H335" s="711"/>
      <c r="I335" s="691"/>
      <c r="J335" s="712"/>
      <c r="K335" s="89" t="s">
        <v>71</v>
      </c>
      <c r="L335" s="89" t="s">
        <v>115</v>
      </c>
      <c r="M335" s="89" t="s">
        <v>72</v>
      </c>
      <c r="N335" s="691"/>
      <c r="O335" s="691"/>
      <c r="P335" s="703"/>
      <c r="Q335" s="703"/>
      <c r="R335" s="703"/>
      <c r="S335" s="703"/>
      <c r="T335" s="703"/>
      <c r="U335" s="90" t="s">
        <v>73</v>
      </c>
      <c r="V335" s="89">
        <v>1</v>
      </c>
      <c r="W335" s="91">
        <v>2</v>
      </c>
      <c r="X335" s="91">
        <v>3</v>
      </c>
      <c r="Y335" s="91">
        <v>4</v>
      </c>
      <c r="Z335" s="162">
        <v>1</v>
      </c>
      <c r="AA335" s="110">
        <v>2</v>
      </c>
      <c r="AB335" s="110">
        <v>3</v>
      </c>
      <c r="AC335" s="110">
        <v>4</v>
      </c>
      <c r="AD335" s="696"/>
      <c r="AE335" s="696"/>
      <c r="AF335" s="696"/>
      <c r="AG335" s="696"/>
      <c r="AH335" s="696"/>
      <c r="AI335" s="697"/>
      <c r="AJ335" s="89" t="s">
        <v>74</v>
      </c>
      <c r="AK335" s="91" t="s">
        <v>75</v>
      </c>
      <c r="AL335" s="91" t="s">
        <v>76</v>
      </c>
      <c r="AM335" s="91" t="s">
        <v>77</v>
      </c>
      <c r="AN335" s="92" t="s">
        <v>78</v>
      </c>
      <c r="AO335" s="92" t="s">
        <v>79</v>
      </c>
      <c r="AP335" s="92" t="s">
        <v>80</v>
      </c>
      <c r="AQ335" s="92" t="s">
        <v>81</v>
      </c>
      <c r="AR335" s="93" t="s">
        <v>82</v>
      </c>
      <c r="AS335" s="93" t="s">
        <v>83</v>
      </c>
      <c r="AT335" s="560"/>
      <c r="AU335" s="111" t="s">
        <v>116</v>
      </c>
      <c r="AV335" s="111" t="s">
        <v>117</v>
      </c>
      <c r="AW335" s="111" t="s">
        <v>118</v>
      </c>
      <c r="AX335" s="111" t="s">
        <v>119</v>
      </c>
      <c r="AY335" s="111" t="s">
        <v>116</v>
      </c>
      <c r="AZ335" s="111" t="s">
        <v>117</v>
      </c>
      <c r="BA335" s="111" t="s">
        <v>118</v>
      </c>
      <c r="BB335" s="111" t="s">
        <v>119</v>
      </c>
      <c r="BC335" s="586"/>
      <c r="BD335" s="589"/>
      <c r="BE335" s="48"/>
      <c r="BF335" s="49"/>
    </row>
    <row r="336" spans="1:74" s="120" customFormat="1" ht="35.1" customHeight="1" x14ac:dyDescent="0.25">
      <c r="A336" s="836" t="s">
        <v>230</v>
      </c>
      <c r="B336" s="664"/>
      <c r="C336" s="673">
        <v>1</v>
      </c>
      <c r="D336" s="816" t="s">
        <v>29</v>
      </c>
      <c r="E336" s="970" t="s">
        <v>239</v>
      </c>
      <c r="F336" s="973">
        <v>0.35</v>
      </c>
      <c r="G336" s="881" t="s">
        <v>240</v>
      </c>
      <c r="H336" s="973">
        <f>SUM(AD336:AD341)/SUM(AD336:AD341)</f>
        <v>1</v>
      </c>
      <c r="I336" s="981" t="s">
        <v>550</v>
      </c>
      <c r="J336" s="534">
        <v>0.5</v>
      </c>
      <c r="K336" s="552" t="s">
        <v>551</v>
      </c>
      <c r="L336" s="984" t="s">
        <v>552</v>
      </c>
      <c r="M336" s="552" t="s">
        <v>553</v>
      </c>
      <c r="N336" s="531" t="s">
        <v>554</v>
      </c>
      <c r="O336" s="552" t="s">
        <v>210</v>
      </c>
      <c r="P336" s="534">
        <v>0.02</v>
      </c>
      <c r="Q336" s="977">
        <v>22</v>
      </c>
      <c r="R336" s="980" t="s">
        <v>200</v>
      </c>
      <c r="S336" s="980" t="s">
        <v>200</v>
      </c>
      <c r="T336" s="945" t="s">
        <v>91</v>
      </c>
      <c r="U336" s="305" t="s">
        <v>555</v>
      </c>
      <c r="V336" s="275"/>
      <c r="W336" s="275"/>
      <c r="X336" s="275"/>
      <c r="Y336" s="275"/>
      <c r="Z336" s="130"/>
      <c r="AA336" s="130"/>
      <c r="AB336" s="130"/>
      <c r="AC336" s="130"/>
      <c r="AD336" s="648">
        <f>+AE336+AF336+AG336</f>
        <v>33333333.333333336</v>
      </c>
      <c r="AE336" s="651">
        <v>0</v>
      </c>
      <c r="AF336" s="651">
        <f>(77000000/3)+(23000000/3)</f>
        <v>33333333.333333336</v>
      </c>
      <c r="AG336" s="651">
        <v>0</v>
      </c>
      <c r="AH336" s="552" t="s">
        <v>246</v>
      </c>
      <c r="AI336" s="552" t="s">
        <v>247</v>
      </c>
      <c r="AJ336" s="967" t="s">
        <v>94</v>
      </c>
      <c r="AK336" s="967"/>
      <c r="AL336" s="967"/>
      <c r="AM336" s="967"/>
      <c r="AN336" s="552"/>
      <c r="AO336" s="552" t="s">
        <v>94</v>
      </c>
      <c r="AP336" s="967"/>
      <c r="AQ336" s="552" t="s">
        <v>94</v>
      </c>
      <c r="AR336" s="552"/>
      <c r="AS336" s="967"/>
      <c r="AT336" s="190" t="s">
        <v>129</v>
      </c>
      <c r="AU336" s="197">
        <f t="shared" ref="AU336:BB336" si="271">+V338*$J$336</f>
        <v>0</v>
      </c>
      <c r="AV336" s="203">
        <f t="shared" si="271"/>
        <v>0</v>
      </c>
      <c r="AW336" s="197">
        <f t="shared" si="271"/>
        <v>0</v>
      </c>
      <c r="AX336" s="203">
        <f t="shared" si="271"/>
        <v>0</v>
      </c>
      <c r="AY336" s="197">
        <f t="shared" si="271"/>
        <v>0</v>
      </c>
      <c r="AZ336" s="203">
        <f t="shared" si="271"/>
        <v>0</v>
      </c>
      <c r="BA336" s="197">
        <f t="shared" si="271"/>
        <v>0</v>
      </c>
      <c r="BB336" s="204">
        <f t="shared" si="271"/>
        <v>0</v>
      </c>
      <c r="BC336" s="611">
        <f>+BB338</f>
        <v>0</v>
      </c>
      <c r="BD336" s="608">
        <f>+BC336+BC342+BC348</f>
        <v>0</v>
      </c>
      <c r="BE336" s="117"/>
      <c r="BF336" s="117"/>
    </row>
    <row r="337" spans="1:58" s="120" customFormat="1" ht="35.1" customHeight="1" thickBot="1" x14ac:dyDescent="0.3">
      <c r="A337" s="836"/>
      <c r="B337" s="664"/>
      <c r="C337" s="673"/>
      <c r="D337" s="817"/>
      <c r="E337" s="971"/>
      <c r="F337" s="974"/>
      <c r="G337" s="882"/>
      <c r="H337" s="974"/>
      <c r="I337" s="982"/>
      <c r="J337" s="535"/>
      <c r="K337" s="553"/>
      <c r="L337" s="985"/>
      <c r="M337" s="553"/>
      <c r="N337" s="532"/>
      <c r="O337" s="553"/>
      <c r="P337" s="535"/>
      <c r="Q337" s="978"/>
      <c r="R337" s="980"/>
      <c r="S337" s="980"/>
      <c r="T337" s="946"/>
      <c r="U337" s="121" t="s">
        <v>556</v>
      </c>
      <c r="V337" s="133">
        <v>0.01</v>
      </c>
      <c r="W337" s="306">
        <v>27</v>
      </c>
      <c r="X337" s="133">
        <v>0.01</v>
      </c>
      <c r="Y337" s="307">
        <v>0.01</v>
      </c>
      <c r="Z337" s="213">
        <f>SUM(V337)</f>
        <v>0.01</v>
      </c>
      <c r="AA337" s="307">
        <f>SUM(V337:W337)</f>
        <v>27.01</v>
      </c>
      <c r="AB337" s="213">
        <f>SUM(V337:X337)</f>
        <v>27.020000000000003</v>
      </c>
      <c r="AC337" s="307">
        <f>SUM(V337:Y337)</f>
        <v>27.030000000000005</v>
      </c>
      <c r="AD337" s="649"/>
      <c r="AE337" s="652"/>
      <c r="AF337" s="652"/>
      <c r="AG337" s="652"/>
      <c r="AH337" s="553"/>
      <c r="AI337" s="553"/>
      <c r="AJ337" s="968"/>
      <c r="AK337" s="968"/>
      <c r="AL337" s="968"/>
      <c r="AM337" s="968"/>
      <c r="AN337" s="553"/>
      <c r="AO337" s="553"/>
      <c r="AP337" s="968"/>
      <c r="AQ337" s="553"/>
      <c r="AR337" s="553"/>
      <c r="AS337" s="968"/>
      <c r="AT337" s="190" t="s">
        <v>131</v>
      </c>
      <c r="AU337" s="203">
        <f>+(AU336+AU339)*$H$336</f>
        <v>0</v>
      </c>
      <c r="AV337" s="203">
        <f t="shared" ref="AV337:BB337" si="272">+(AV336+AV339)*$H$336</f>
        <v>0</v>
      </c>
      <c r="AW337" s="203">
        <f t="shared" si="272"/>
        <v>0</v>
      </c>
      <c r="AX337" s="203">
        <f t="shared" si="272"/>
        <v>0</v>
      </c>
      <c r="AY337" s="203">
        <f t="shared" si="272"/>
        <v>0</v>
      </c>
      <c r="AZ337" s="203">
        <f t="shared" si="272"/>
        <v>0</v>
      </c>
      <c r="BA337" s="203">
        <f t="shared" si="272"/>
        <v>0</v>
      </c>
      <c r="BB337" s="204">
        <f t="shared" si="272"/>
        <v>0</v>
      </c>
      <c r="BC337" s="612"/>
      <c r="BD337" s="609"/>
      <c r="BE337" s="117"/>
      <c r="BF337" s="117"/>
    </row>
    <row r="338" spans="1:58" s="120" customFormat="1" ht="24.95" customHeight="1" thickBot="1" x14ac:dyDescent="0.3">
      <c r="A338" s="836"/>
      <c r="B338" s="664"/>
      <c r="C338" s="673"/>
      <c r="D338" s="817"/>
      <c r="E338" s="971"/>
      <c r="F338" s="974"/>
      <c r="G338" s="882"/>
      <c r="H338" s="974"/>
      <c r="I338" s="983"/>
      <c r="J338" s="536"/>
      <c r="K338" s="554"/>
      <c r="L338" s="986"/>
      <c r="M338" s="554"/>
      <c r="N338" s="533"/>
      <c r="O338" s="554"/>
      <c r="P338" s="536"/>
      <c r="Q338" s="979"/>
      <c r="R338" s="980"/>
      <c r="S338" s="980"/>
      <c r="T338" s="947"/>
      <c r="U338" s="125" t="s">
        <v>96</v>
      </c>
      <c r="V338" s="197">
        <f>IF((V336/V337)&lt;$H$8,(V336/V337),IF((V336/V337)&lt;$I$8,(V336/V337),IF((V336/V337)&lt;$I$9,(V336/V337),IF((V336/V337)&gt;=$I$9,$I$9))))</f>
        <v>0</v>
      </c>
      <c r="W338" s="196">
        <f t="shared" ref="W338" si="273">IF((W336/W337)&lt;$I$8,(W336/W337),IF((W336/W337)&lt;$J$8,(W336/W337),IF((W336/W337)&lt;$J$9,(W336/W337),IF((W336/W337)&gt;=$J$9,$J$9))))</f>
        <v>0</v>
      </c>
      <c r="X338" s="197">
        <f>IF((X336/X337)&lt;$H$8,(X336/X337),IF((X336/X337)&lt;$I$8,(X336/X337),IF((X336/X337)&lt;$I$9,(X336/X337),IF((X336/X337)&gt;=$I$9,$I$9))))</f>
        <v>0</v>
      </c>
      <c r="Y338" s="197">
        <f t="shared" ref="Y338:Z338" si="274">IF((Y336/Y337)&lt;$H$8,(Y336/Y337),IF((Y336/Y337)&lt;$I$8,(Y336/Y337),IF((Y336/Y337)&lt;$I$9,(Y336/Y337),IF((Y336/Y337)&gt;=$I$9,$I$9))))</f>
        <v>0</v>
      </c>
      <c r="Z338" s="197">
        <f t="shared" si="274"/>
        <v>0</v>
      </c>
      <c r="AA338" s="196">
        <f t="shared" ref="AA338:AC338" si="275">IF((AA336/AA337)&lt;$I$8,(AA336/AA337),IF((AA336/AA337)&lt;$J$8,(AA336/AA337),IF((AA336/AA337)&lt;$J$9,(AA336/AA337),IF((AA336/AA337)&gt;=$J$9,$J$9))))</f>
        <v>0</v>
      </c>
      <c r="AB338" s="131">
        <f t="shared" si="275"/>
        <v>0</v>
      </c>
      <c r="AC338" s="131">
        <f t="shared" si="275"/>
        <v>0</v>
      </c>
      <c r="AD338" s="650"/>
      <c r="AE338" s="653"/>
      <c r="AF338" s="653"/>
      <c r="AG338" s="653"/>
      <c r="AH338" s="554"/>
      <c r="AI338" s="554"/>
      <c r="AJ338" s="969"/>
      <c r="AK338" s="969"/>
      <c r="AL338" s="969"/>
      <c r="AM338" s="969"/>
      <c r="AN338" s="554"/>
      <c r="AO338" s="554"/>
      <c r="AP338" s="969"/>
      <c r="AQ338" s="554"/>
      <c r="AR338" s="554"/>
      <c r="AS338" s="969"/>
      <c r="AT338" s="190" t="s">
        <v>132</v>
      </c>
      <c r="AU338" s="203">
        <f>+AU337*$F$336</f>
        <v>0</v>
      </c>
      <c r="AV338" s="203">
        <f t="shared" ref="AV338:BB338" si="276">+AV337*$F$336</f>
        <v>0</v>
      </c>
      <c r="AW338" s="203">
        <f t="shared" si="276"/>
        <v>0</v>
      </c>
      <c r="AX338" s="203">
        <f t="shared" si="276"/>
        <v>0</v>
      </c>
      <c r="AY338" s="203">
        <f t="shared" si="276"/>
        <v>0</v>
      </c>
      <c r="AZ338" s="203">
        <f t="shared" si="276"/>
        <v>0</v>
      </c>
      <c r="BA338" s="203">
        <f t="shared" si="276"/>
        <v>0</v>
      </c>
      <c r="BB338" s="308">
        <f t="shared" si="276"/>
        <v>0</v>
      </c>
      <c r="BC338" s="612"/>
      <c r="BD338" s="609"/>
      <c r="BE338" s="117"/>
      <c r="BF338" s="117"/>
    </row>
    <row r="339" spans="1:58" s="120" customFormat="1" ht="35.1" customHeight="1" x14ac:dyDescent="0.25">
      <c r="A339" s="836" t="s">
        <v>230</v>
      </c>
      <c r="B339" s="664"/>
      <c r="C339" s="673">
        <v>2</v>
      </c>
      <c r="D339" s="817"/>
      <c r="E339" s="971"/>
      <c r="F339" s="974"/>
      <c r="G339" s="882"/>
      <c r="H339" s="974"/>
      <c r="I339" s="981" t="s">
        <v>557</v>
      </c>
      <c r="J339" s="534">
        <v>0.5</v>
      </c>
      <c r="K339" s="552" t="s">
        <v>558</v>
      </c>
      <c r="L339" s="984" t="s">
        <v>559</v>
      </c>
      <c r="M339" s="552" t="s">
        <v>560</v>
      </c>
      <c r="N339" s="531" t="s">
        <v>554</v>
      </c>
      <c r="O339" s="552" t="s">
        <v>210</v>
      </c>
      <c r="P339" s="534">
        <v>0.02</v>
      </c>
      <c r="Q339" s="977">
        <v>3</v>
      </c>
      <c r="R339" s="980" t="s">
        <v>200</v>
      </c>
      <c r="S339" s="980" t="s">
        <v>200</v>
      </c>
      <c r="T339" s="945" t="s">
        <v>91</v>
      </c>
      <c r="U339" s="129" t="s">
        <v>561</v>
      </c>
      <c r="V339" s="275"/>
      <c r="W339" s="275"/>
      <c r="X339" s="275"/>
      <c r="Y339" s="275"/>
      <c r="Z339" s="130"/>
      <c r="AA339" s="130"/>
      <c r="AB339" s="130"/>
      <c r="AC339" s="130"/>
      <c r="AD339" s="648">
        <f>+AE339+AF339+AG339</f>
        <v>33333333.333333336</v>
      </c>
      <c r="AE339" s="651">
        <v>0</v>
      </c>
      <c r="AF339" s="651">
        <f>(77000000/3)+(23000000/3)</f>
        <v>33333333.333333336</v>
      </c>
      <c r="AG339" s="651">
        <v>0</v>
      </c>
      <c r="AH339" s="552" t="s">
        <v>246</v>
      </c>
      <c r="AI339" s="552" t="s">
        <v>247</v>
      </c>
      <c r="AJ339" s="967" t="s">
        <v>94</v>
      </c>
      <c r="AK339" s="967"/>
      <c r="AL339" s="967"/>
      <c r="AM339" s="967"/>
      <c r="AN339" s="967"/>
      <c r="AO339" s="552" t="s">
        <v>94</v>
      </c>
      <c r="AP339" s="967"/>
      <c r="AQ339" s="967"/>
      <c r="AR339" s="552" t="s">
        <v>94</v>
      </c>
      <c r="AS339" s="967"/>
      <c r="AT339" s="190" t="s">
        <v>129</v>
      </c>
      <c r="AU339" s="197">
        <f t="shared" ref="AU339:BB339" si="277">+V341*$J$339</f>
        <v>0</v>
      </c>
      <c r="AV339" s="203">
        <f t="shared" si="277"/>
        <v>0</v>
      </c>
      <c r="AW339" s="197">
        <f t="shared" si="277"/>
        <v>0</v>
      </c>
      <c r="AX339" s="203">
        <f t="shared" si="277"/>
        <v>0</v>
      </c>
      <c r="AY339" s="197">
        <f t="shared" si="277"/>
        <v>0</v>
      </c>
      <c r="AZ339" s="203">
        <f t="shared" si="277"/>
        <v>0</v>
      </c>
      <c r="BA339" s="197">
        <f t="shared" si="277"/>
        <v>0</v>
      </c>
      <c r="BB339" s="204">
        <f t="shared" si="277"/>
        <v>0</v>
      </c>
      <c r="BC339" s="612"/>
      <c r="BD339" s="609"/>
      <c r="BE339" s="117"/>
      <c r="BF339" s="117"/>
    </row>
    <row r="340" spans="1:58" s="120" customFormat="1" ht="35.1" customHeight="1" x14ac:dyDescent="0.25">
      <c r="A340" s="836"/>
      <c r="B340" s="664"/>
      <c r="C340" s="673"/>
      <c r="D340" s="817"/>
      <c r="E340" s="971"/>
      <c r="F340" s="974"/>
      <c r="G340" s="882"/>
      <c r="H340" s="974"/>
      <c r="I340" s="982"/>
      <c r="J340" s="535"/>
      <c r="K340" s="553"/>
      <c r="L340" s="985"/>
      <c r="M340" s="553"/>
      <c r="N340" s="532"/>
      <c r="O340" s="553"/>
      <c r="P340" s="535"/>
      <c r="Q340" s="978"/>
      <c r="R340" s="980"/>
      <c r="S340" s="980"/>
      <c r="T340" s="946"/>
      <c r="U340" s="121" t="s">
        <v>562</v>
      </c>
      <c r="V340" s="133">
        <v>0.01</v>
      </c>
      <c r="W340" s="122">
        <v>1</v>
      </c>
      <c r="X340" s="133">
        <v>0.01</v>
      </c>
      <c r="Y340" s="307">
        <v>0.01</v>
      </c>
      <c r="Z340" s="213">
        <f>SUM(V340)</f>
        <v>0.01</v>
      </c>
      <c r="AA340" s="213">
        <f>+W340</f>
        <v>1</v>
      </c>
      <c r="AB340" s="213">
        <f>SUM(V340:X340)</f>
        <v>1.02</v>
      </c>
      <c r="AC340" s="307">
        <f>+AB340</f>
        <v>1.02</v>
      </c>
      <c r="AD340" s="649"/>
      <c r="AE340" s="652"/>
      <c r="AF340" s="652"/>
      <c r="AG340" s="652"/>
      <c r="AH340" s="553"/>
      <c r="AI340" s="553"/>
      <c r="AJ340" s="968"/>
      <c r="AK340" s="968"/>
      <c r="AL340" s="968"/>
      <c r="AM340" s="968"/>
      <c r="AN340" s="968"/>
      <c r="AO340" s="553"/>
      <c r="AP340" s="968"/>
      <c r="AQ340" s="968"/>
      <c r="AR340" s="553"/>
      <c r="AS340" s="968"/>
      <c r="AT340" s="190" t="s">
        <v>131</v>
      </c>
      <c r="AU340" s="575"/>
      <c r="AV340" s="576"/>
      <c r="AW340" s="576"/>
      <c r="AX340" s="576"/>
      <c r="AY340" s="576"/>
      <c r="AZ340" s="576"/>
      <c r="BA340" s="576"/>
      <c r="BB340" s="577"/>
      <c r="BC340" s="612"/>
      <c r="BD340" s="609"/>
      <c r="BE340" s="117"/>
      <c r="BF340" s="117"/>
    </row>
    <row r="341" spans="1:58" s="120" customFormat="1" ht="24.95" customHeight="1" x14ac:dyDescent="0.25">
      <c r="A341" s="836"/>
      <c r="B341" s="664"/>
      <c r="C341" s="673"/>
      <c r="D341" s="817"/>
      <c r="E341" s="972"/>
      <c r="F341" s="975"/>
      <c r="G341" s="883"/>
      <c r="H341" s="975"/>
      <c r="I341" s="983"/>
      <c r="J341" s="536"/>
      <c r="K341" s="554"/>
      <c r="L341" s="986"/>
      <c r="M341" s="554"/>
      <c r="N341" s="533"/>
      <c r="O341" s="554"/>
      <c r="P341" s="536"/>
      <c r="Q341" s="979"/>
      <c r="R341" s="980"/>
      <c r="S341" s="980"/>
      <c r="T341" s="947"/>
      <c r="U341" s="125" t="s">
        <v>96</v>
      </c>
      <c r="V341" s="197">
        <f>IF((V339/V340)&lt;$H$8,(V339/V340),IF((V339/V340)&lt;$I$8,(V339/V340),IF((V339/V340)&lt;$I$9,(V339/V340),IF((V339/V340)&gt;=$I$9,$I$9))))</f>
        <v>0</v>
      </c>
      <c r="W341" s="196">
        <f t="shared" ref="W341" si="278">IF((W339/W340)&lt;$I$8,(W339/W340),IF((W339/W340)&lt;$J$8,(W339/W340),IF((W339/W340)&lt;$J$9,(W339/W340),IF((W339/W340)&gt;=$J$9,$J$9))))</f>
        <v>0</v>
      </c>
      <c r="X341" s="197">
        <f t="shared" ref="X341:Y341" si="279">IF((X339/X340)&lt;$H$8,(X339/X340),IF((X339/X340)&lt;$I$8,(X339/X340),IF((X339/X340)&lt;$I$9,(X339/X340),IF((X339/X340)&gt;=$I$9,$I$9))))</f>
        <v>0</v>
      </c>
      <c r="Y341" s="197">
        <f t="shared" si="279"/>
        <v>0</v>
      </c>
      <c r="Z341" s="197">
        <f>IF((Z339/Z340)&lt;$H$8,(Z339/Z340),IF((Z339/Z340)&lt;$I$8,(Z339/Z340),IF((Z339/Z340)&lt;$I$9,(Z339/Z340),IF((Z339/Z340)&gt;=$I$9,$I$9))))</f>
        <v>0</v>
      </c>
      <c r="AA341" s="196">
        <f t="shared" ref="AA341:AC341" si="280">IF((AA339/AA340)&lt;$I$8,(AA339/AA340),IF((AA339/AA340)&lt;$J$8,(AA339/AA340),IF((AA339/AA340)&lt;$J$9,(AA339/AA340),IF((AA339/AA340)&gt;=$J$9,$J$9))))</f>
        <v>0</v>
      </c>
      <c r="AB341" s="131">
        <f t="shared" si="280"/>
        <v>0</v>
      </c>
      <c r="AC341" s="131">
        <f t="shared" si="280"/>
        <v>0</v>
      </c>
      <c r="AD341" s="650"/>
      <c r="AE341" s="653"/>
      <c r="AF341" s="653"/>
      <c r="AG341" s="653"/>
      <c r="AH341" s="554"/>
      <c r="AI341" s="554"/>
      <c r="AJ341" s="969"/>
      <c r="AK341" s="969"/>
      <c r="AL341" s="969"/>
      <c r="AM341" s="969"/>
      <c r="AN341" s="969"/>
      <c r="AO341" s="554"/>
      <c r="AP341" s="969"/>
      <c r="AQ341" s="969"/>
      <c r="AR341" s="554"/>
      <c r="AS341" s="969"/>
      <c r="AT341" s="190" t="s">
        <v>132</v>
      </c>
      <c r="AU341" s="575"/>
      <c r="AV341" s="576"/>
      <c r="AW341" s="576"/>
      <c r="AX341" s="576"/>
      <c r="AY341" s="576"/>
      <c r="AZ341" s="576"/>
      <c r="BA341" s="576"/>
      <c r="BB341" s="577"/>
      <c r="BC341" s="613"/>
      <c r="BD341" s="609"/>
      <c r="BE341" s="117"/>
      <c r="BF341" s="117"/>
    </row>
    <row r="342" spans="1:58" s="227" customFormat="1" ht="35.1" customHeight="1" x14ac:dyDescent="0.2">
      <c r="A342" s="675"/>
      <c r="B342" s="664"/>
      <c r="C342" s="665">
        <v>3</v>
      </c>
      <c r="D342" s="817"/>
      <c r="E342" s="976" t="s">
        <v>192</v>
      </c>
      <c r="F342" s="666">
        <v>0.35</v>
      </c>
      <c r="G342" s="758" t="s">
        <v>563</v>
      </c>
      <c r="H342" s="758">
        <v>0.5</v>
      </c>
      <c r="I342" s="736" t="s">
        <v>564</v>
      </c>
      <c r="J342" s="776">
        <v>1</v>
      </c>
      <c r="K342" s="770" t="s">
        <v>565</v>
      </c>
      <c r="L342" s="829" t="s">
        <v>566</v>
      </c>
      <c r="M342" s="722" t="str">
        <f>CONCATENATE(U342,"/",U343)</f>
        <v>No. de notificaciones publicadas oportunamente/No. de actos administrativos por notificar</v>
      </c>
      <c r="N342" s="722" t="s">
        <v>567</v>
      </c>
      <c r="O342" s="954" t="s">
        <v>89</v>
      </c>
      <c r="P342" s="732">
        <v>0.1</v>
      </c>
      <c r="Q342" s="957">
        <v>1</v>
      </c>
      <c r="R342" s="957">
        <v>1</v>
      </c>
      <c r="S342" s="957">
        <v>1</v>
      </c>
      <c r="T342" s="958" t="s">
        <v>151</v>
      </c>
      <c r="U342" s="129" t="s">
        <v>568</v>
      </c>
      <c r="V342" s="275"/>
      <c r="W342" s="275"/>
      <c r="X342" s="250"/>
      <c r="Y342" s="250"/>
      <c r="Z342" s="130"/>
      <c r="AA342" s="130"/>
      <c r="AB342" s="130"/>
      <c r="AC342" s="130"/>
      <c r="AD342" s="964">
        <f>+AE342+AF342+AG342</f>
        <v>405193018</v>
      </c>
      <c r="AE342" s="961">
        <v>0</v>
      </c>
      <c r="AF342" s="961">
        <v>405193018</v>
      </c>
      <c r="AG342" s="961">
        <v>0</v>
      </c>
      <c r="AH342" s="552" t="s">
        <v>569</v>
      </c>
      <c r="AI342" s="552" t="s">
        <v>569</v>
      </c>
      <c r="AJ342" s="669" t="s">
        <v>94</v>
      </c>
      <c r="AK342" s="669"/>
      <c r="AL342" s="669"/>
      <c r="AM342" s="669"/>
      <c r="AN342" s="669" t="s">
        <v>94</v>
      </c>
      <c r="AO342" s="669"/>
      <c r="AP342" s="669"/>
      <c r="AQ342" s="669" t="s">
        <v>94</v>
      </c>
      <c r="AR342" s="669"/>
      <c r="AS342" s="669"/>
      <c r="AT342" s="190" t="s">
        <v>129</v>
      </c>
      <c r="AU342" s="203">
        <f t="shared" ref="AU342:BB342" si="281">+V344*$J$342</f>
        <v>0</v>
      </c>
      <c r="AV342" s="203">
        <f t="shared" si="281"/>
        <v>0</v>
      </c>
      <c r="AW342" s="203">
        <f t="shared" si="281"/>
        <v>0</v>
      </c>
      <c r="AX342" s="203">
        <f t="shared" si="281"/>
        <v>0</v>
      </c>
      <c r="AY342" s="203">
        <f t="shared" si="281"/>
        <v>0</v>
      </c>
      <c r="AZ342" s="203">
        <f t="shared" si="281"/>
        <v>0</v>
      </c>
      <c r="BA342" s="203">
        <f t="shared" si="281"/>
        <v>0</v>
      </c>
      <c r="BB342" s="204">
        <f t="shared" si="281"/>
        <v>0</v>
      </c>
      <c r="BC342" s="602">
        <f>+BB344</f>
        <v>0</v>
      </c>
      <c r="BD342" s="609"/>
      <c r="BE342" s="309"/>
      <c r="BF342" s="310"/>
    </row>
    <row r="343" spans="1:58" s="227" customFormat="1" ht="35.1" customHeight="1" thickBot="1" x14ac:dyDescent="0.25">
      <c r="A343" s="675"/>
      <c r="B343" s="664"/>
      <c r="C343" s="665"/>
      <c r="D343" s="817"/>
      <c r="E343" s="976"/>
      <c r="F343" s="666"/>
      <c r="G343" s="759"/>
      <c r="H343" s="759"/>
      <c r="I343" s="737"/>
      <c r="J343" s="777"/>
      <c r="K343" s="771"/>
      <c r="L343" s="829"/>
      <c r="M343" s="723"/>
      <c r="N343" s="723"/>
      <c r="O343" s="955"/>
      <c r="P343" s="732"/>
      <c r="Q343" s="957"/>
      <c r="R343" s="957"/>
      <c r="S343" s="957"/>
      <c r="T343" s="959"/>
      <c r="U343" s="311" t="s">
        <v>570</v>
      </c>
      <c r="V343" s="122">
        <v>1638</v>
      </c>
      <c r="W343" s="122">
        <v>1772</v>
      </c>
      <c r="X343" s="312">
        <v>0.01</v>
      </c>
      <c r="Y343" s="312">
        <v>0.01</v>
      </c>
      <c r="Z343" s="122">
        <f>+V343</f>
        <v>1638</v>
      </c>
      <c r="AA343" s="122">
        <f>+V343+W343</f>
        <v>3410</v>
      </c>
      <c r="AB343" s="133">
        <f>+V343+W343+X343</f>
        <v>3410.01</v>
      </c>
      <c r="AC343" s="133">
        <f>+V343+W343+X343+Y343</f>
        <v>3410.0200000000004</v>
      </c>
      <c r="AD343" s="965"/>
      <c r="AE343" s="962"/>
      <c r="AF343" s="962"/>
      <c r="AG343" s="962"/>
      <c r="AH343" s="553"/>
      <c r="AI343" s="553"/>
      <c r="AJ343" s="670"/>
      <c r="AK343" s="670"/>
      <c r="AL343" s="670"/>
      <c r="AM343" s="670"/>
      <c r="AN343" s="670"/>
      <c r="AO343" s="670"/>
      <c r="AP343" s="670"/>
      <c r="AQ343" s="670"/>
      <c r="AR343" s="670"/>
      <c r="AS343" s="670"/>
      <c r="AT343" s="190" t="s">
        <v>131</v>
      </c>
      <c r="AU343" s="203">
        <f>+AU342*$H$342</f>
        <v>0</v>
      </c>
      <c r="AV343" s="203">
        <f t="shared" ref="AV343:BB343" si="282">+AV342*$H$342</f>
        <v>0</v>
      </c>
      <c r="AW343" s="203">
        <f t="shared" si="282"/>
        <v>0</v>
      </c>
      <c r="AX343" s="203">
        <f t="shared" si="282"/>
        <v>0</v>
      </c>
      <c r="AY343" s="203">
        <f t="shared" si="282"/>
        <v>0</v>
      </c>
      <c r="AZ343" s="203">
        <f t="shared" si="282"/>
        <v>0</v>
      </c>
      <c r="BA343" s="203">
        <f t="shared" si="282"/>
        <v>0</v>
      </c>
      <c r="BB343" s="204">
        <f t="shared" si="282"/>
        <v>0</v>
      </c>
      <c r="BC343" s="603"/>
      <c r="BD343" s="609"/>
      <c r="BE343" s="309"/>
      <c r="BF343" s="310"/>
    </row>
    <row r="344" spans="1:58" s="227" customFormat="1" ht="24.95" customHeight="1" thickBot="1" x14ac:dyDescent="0.25">
      <c r="A344" s="675"/>
      <c r="B344" s="664"/>
      <c r="C344" s="665"/>
      <c r="D344" s="817"/>
      <c r="E344" s="976"/>
      <c r="F344" s="666"/>
      <c r="G344" s="760"/>
      <c r="H344" s="760"/>
      <c r="I344" s="738"/>
      <c r="J344" s="778"/>
      <c r="K344" s="772"/>
      <c r="L344" s="829"/>
      <c r="M344" s="724"/>
      <c r="N344" s="724"/>
      <c r="O344" s="956"/>
      <c r="P344" s="732"/>
      <c r="Q344" s="957"/>
      <c r="R344" s="957"/>
      <c r="S344" s="957"/>
      <c r="T344" s="960"/>
      <c r="U344" s="125" t="s">
        <v>96</v>
      </c>
      <c r="V344" s="196">
        <f>IF((V342/V343)&lt;$I$8,(V342/V343),IF((V342/V343)&lt;$J$8,(V342/V343),IF((V342/V343)&lt;$J$9,(V342/V343),IF((V342/V343)&gt;=$J$9,$J$9))))</f>
        <v>0</v>
      </c>
      <c r="W344" s="196">
        <f t="shared" ref="W344:AC344" si="283">IF((W342/W343)&lt;$I$8,(W342/W343),IF((W342/W343)&lt;$J$8,(W342/W343),IF((W342/W343)&lt;$J$9,(W342/W343),IF((W342/W343)&gt;=$J$9,$J$9))))</f>
        <v>0</v>
      </c>
      <c r="X344" s="196">
        <f t="shared" si="283"/>
        <v>0</v>
      </c>
      <c r="Y344" s="196">
        <f t="shared" si="283"/>
        <v>0</v>
      </c>
      <c r="Z344" s="196">
        <f t="shared" si="283"/>
        <v>0</v>
      </c>
      <c r="AA344" s="196">
        <f t="shared" si="283"/>
        <v>0</v>
      </c>
      <c r="AB344" s="196">
        <f t="shared" si="283"/>
        <v>0</v>
      </c>
      <c r="AC344" s="196">
        <f t="shared" si="283"/>
        <v>0</v>
      </c>
      <c r="AD344" s="965"/>
      <c r="AE344" s="962"/>
      <c r="AF344" s="962"/>
      <c r="AG344" s="962"/>
      <c r="AH344" s="554"/>
      <c r="AI344" s="554"/>
      <c r="AJ344" s="671"/>
      <c r="AK344" s="671"/>
      <c r="AL344" s="671"/>
      <c r="AM344" s="671"/>
      <c r="AN344" s="671"/>
      <c r="AO344" s="671"/>
      <c r="AP344" s="671"/>
      <c r="AQ344" s="671"/>
      <c r="AR344" s="671"/>
      <c r="AS344" s="671"/>
      <c r="AT344" s="190" t="s">
        <v>132</v>
      </c>
      <c r="AU344" s="203">
        <f>+(AU343+AU346)*$F$342</f>
        <v>0</v>
      </c>
      <c r="AV344" s="203">
        <f t="shared" ref="AV344:BB344" si="284">+(AV343+AV346)*$F$342</f>
        <v>0</v>
      </c>
      <c r="AW344" s="203">
        <f t="shared" si="284"/>
        <v>0</v>
      </c>
      <c r="AX344" s="203">
        <f t="shared" si="284"/>
        <v>0</v>
      </c>
      <c r="AY344" s="203">
        <f t="shared" si="284"/>
        <v>0</v>
      </c>
      <c r="AZ344" s="203">
        <f t="shared" si="284"/>
        <v>0</v>
      </c>
      <c r="BA344" s="203">
        <f t="shared" si="284"/>
        <v>0</v>
      </c>
      <c r="BB344" s="308">
        <f t="shared" si="284"/>
        <v>0</v>
      </c>
      <c r="BC344" s="603"/>
      <c r="BD344" s="609"/>
      <c r="BE344" s="309"/>
      <c r="BF344" s="310"/>
    </row>
    <row r="345" spans="1:58" s="227" customFormat="1" ht="35.1" customHeight="1" x14ac:dyDescent="0.2">
      <c r="A345" s="675"/>
      <c r="B345" s="664"/>
      <c r="C345" s="665">
        <v>4</v>
      </c>
      <c r="D345" s="817"/>
      <c r="E345" s="976"/>
      <c r="F345" s="666"/>
      <c r="G345" s="758" t="s">
        <v>571</v>
      </c>
      <c r="H345" s="758">
        <v>0.5</v>
      </c>
      <c r="I345" s="736" t="s">
        <v>572</v>
      </c>
      <c r="J345" s="776">
        <v>1</v>
      </c>
      <c r="K345" s="770" t="s">
        <v>573</v>
      </c>
      <c r="L345" s="736" t="s">
        <v>574</v>
      </c>
      <c r="M345" s="722" t="str">
        <f>CONCATENATE(U345,"/",U346)</f>
        <v>No. solicitudes atendidas oportunamente/Total de solicitudes recibidas</v>
      </c>
      <c r="N345" s="722" t="s">
        <v>567</v>
      </c>
      <c r="O345" s="954" t="s">
        <v>89</v>
      </c>
      <c r="P345" s="732">
        <v>0.1</v>
      </c>
      <c r="Q345" s="957">
        <v>1</v>
      </c>
      <c r="R345" s="957">
        <v>1</v>
      </c>
      <c r="S345" s="957">
        <v>1</v>
      </c>
      <c r="T345" s="958" t="s">
        <v>151</v>
      </c>
      <c r="U345" s="129" t="s">
        <v>575</v>
      </c>
      <c r="V345" s="275"/>
      <c r="W345" s="275"/>
      <c r="X345" s="250"/>
      <c r="Y345" s="250"/>
      <c r="Z345" s="130"/>
      <c r="AA345" s="130"/>
      <c r="AB345" s="130"/>
      <c r="AC345" s="130"/>
      <c r="AD345" s="965"/>
      <c r="AE345" s="962"/>
      <c r="AF345" s="962"/>
      <c r="AG345" s="962"/>
      <c r="AH345" s="552" t="s">
        <v>569</v>
      </c>
      <c r="AI345" s="552" t="s">
        <v>569</v>
      </c>
      <c r="AJ345" s="669" t="s">
        <v>94</v>
      </c>
      <c r="AK345" s="669"/>
      <c r="AL345" s="669"/>
      <c r="AM345" s="669"/>
      <c r="AN345" s="669" t="s">
        <v>94</v>
      </c>
      <c r="AO345" s="669"/>
      <c r="AP345" s="669"/>
      <c r="AQ345" s="669" t="s">
        <v>94</v>
      </c>
      <c r="AR345" s="669"/>
      <c r="AS345" s="669"/>
      <c r="AT345" s="190" t="s">
        <v>129</v>
      </c>
      <c r="AU345" s="203">
        <f t="shared" ref="AU345:BB345" si="285">+V347*$J$345</f>
        <v>0</v>
      </c>
      <c r="AV345" s="203">
        <f t="shared" si="285"/>
        <v>0</v>
      </c>
      <c r="AW345" s="203">
        <f t="shared" si="285"/>
        <v>0</v>
      </c>
      <c r="AX345" s="203">
        <f t="shared" si="285"/>
        <v>0</v>
      </c>
      <c r="AY345" s="203">
        <f t="shared" si="285"/>
        <v>0</v>
      </c>
      <c r="AZ345" s="203">
        <f t="shared" si="285"/>
        <v>0</v>
      </c>
      <c r="BA345" s="203">
        <f t="shared" si="285"/>
        <v>0</v>
      </c>
      <c r="BB345" s="204">
        <f t="shared" si="285"/>
        <v>0</v>
      </c>
      <c r="BC345" s="603"/>
      <c r="BD345" s="609"/>
      <c r="BE345" s="309"/>
      <c r="BF345" s="310"/>
    </row>
    <row r="346" spans="1:58" s="227" customFormat="1" ht="35.1" customHeight="1" x14ac:dyDescent="0.2">
      <c r="A346" s="675"/>
      <c r="B346" s="664"/>
      <c r="C346" s="665"/>
      <c r="D346" s="817"/>
      <c r="E346" s="976"/>
      <c r="F346" s="666"/>
      <c r="G346" s="759"/>
      <c r="H346" s="759"/>
      <c r="I346" s="737"/>
      <c r="J346" s="777"/>
      <c r="K346" s="771"/>
      <c r="L346" s="737"/>
      <c r="M346" s="723"/>
      <c r="N346" s="723"/>
      <c r="O346" s="955"/>
      <c r="P346" s="732"/>
      <c r="Q346" s="957"/>
      <c r="R346" s="957"/>
      <c r="S346" s="957"/>
      <c r="T346" s="959"/>
      <c r="U346" s="311" t="s">
        <v>576</v>
      </c>
      <c r="V346" s="122">
        <v>12442</v>
      </c>
      <c r="W346" s="133">
        <v>11828</v>
      </c>
      <c r="X346" s="133">
        <v>0.01</v>
      </c>
      <c r="Y346" s="133">
        <v>0.01</v>
      </c>
      <c r="Z346" s="133">
        <f>+V346</f>
        <v>12442</v>
      </c>
      <c r="AA346" s="133">
        <f>+V346+W346</f>
        <v>24270</v>
      </c>
      <c r="AB346" s="133">
        <f>+V346+W346+X346</f>
        <v>24270.01</v>
      </c>
      <c r="AC346" s="133">
        <f>+V346+W346+X346+Y346</f>
        <v>24270.019999999997</v>
      </c>
      <c r="AD346" s="965"/>
      <c r="AE346" s="962"/>
      <c r="AF346" s="962"/>
      <c r="AG346" s="962"/>
      <c r="AH346" s="553"/>
      <c r="AI346" s="553"/>
      <c r="AJ346" s="670"/>
      <c r="AK346" s="670"/>
      <c r="AL346" s="670"/>
      <c r="AM346" s="670"/>
      <c r="AN346" s="670"/>
      <c r="AO346" s="670"/>
      <c r="AP346" s="670"/>
      <c r="AQ346" s="670"/>
      <c r="AR346" s="670"/>
      <c r="AS346" s="670"/>
      <c r="AT346" s="190" t="s">
        <v>131</v>
      </c>
      <c r="AU346" s="203">
        <f>+AU345*$H$345</f>
        <v>0</v>
      </c>
      <c r="AV346" s="203">
        <f t="shared" ref="AV346:BB346" si="286">+AV345*$H$345</f>
        <v>0</v>
      </c>
      <c r="AW346" s="203">
        <f t="shared" si="286"/>
        <v>0</v>
      </c>
      <c r="AX346" s="203">
        <f t="shared" si="286"/>
        <v>0</v>
      </c>
      <c r="AY346" s="203">
        <f t="shared" si="286"/>
        <v>0</v>
      </c>
      <c r="AZ346" s="203">
        <f t="shared" si="286"/>
        <v>0</v>
      </c>
      <c r="BA346" s="203">
        <f t="shared" si="286"/>
        <v>0</v>
      </c>
      <c r="BB346" s="204">
        <f t="shared" si="286"/>
        <v>0</v>
      </c>
      <c r="BC346" s="603"/>
      <c r="BD346" s="609"/>
      <c r="BE346" s="309"/>
      <c r="BF346" s="310"/>
    </row>
    <row r="347" spans="1:58" s="227" customFormat="1" ht="24.95" customHeight="1" x14ac:dyDescent="0.2">
      <c r="A347" s="675"/>
      <c r="B347" s="664"/>
      <c r="C347" s="665"/>
      <c r="D347" s="817"/>
      <c r="E347" s="976"/>
      <c r="F347" s="666"/>
      <c r="G347" s="760"/>
      <c r="H347" s="760"/>
      <c r="I347" s="738"/>
      <c r="J347" s="778"/>
      <c r="K347" s="772"/>
      <c r="L347" s="738"/>
      <c r="M347" s="724"/>
      <c r="N347" s="724"/>
      <c r="O347" s="956"/>
      <c r="P347" s="732"/>
      <c r="Q347" s="957"/>
      <c r="R347" s="957"/>
      <c r="S347" s="957"/>
      <c r="T347" s="960"/>
      <c r="U347" s="125" t="s">
        <v>96</v>
      </c>
      <c r="V347" s="313">
        <f>IF((V345/V346)&lt;$I$8,(V345/V346),IF((V345/V346)&lt;$J$8,(V345/V346),IF((V345/V346)&lt;$J$9,(V345/V346),IF((V345/V346)&gt;=$J$9,$J$9))))</f>
        <v>0</v>
      </c>
      <c r="W347" s="313">
        <f t="shared" ref="W347:AC347" si="287">IF((W345/W346)&lt;$I$8,(W345/W346),IF((W345/W346)&lt;$J$8,(W345/W346),IF((W345/W346)&lt;$J$9,(W345/W346),IF((W345/W346)&gt;=$J$9,$J$9))))</f>
        <v>0</v>
      </c>
      <c r="X347" s="196">
        <f t="shared" si="287"/>
        <v>0</v>
      </c>
      <c r="Y347" s="196">
        <f t="shared" si="287"/>
        <v>0</v>
      </c>
      <c r="Z347" s="313">
        <f t="shared" si="287"/>
        <v>0</v>
      </c>
      <c r="AA347" s="313">
        <f t="shared" si="287"/>
        <v>0</v>
      </c>
      <c r="AB347" s="313">
        <f t="shared" si="287"/>
        <v>0</v>
      </c>
      <c r="AC347" s="313">
        <f t="shared" si="287"/>
        <v>0</v>
      </c>
      <c r="AD347" s="966"/>
      <c r="AE347" s="963"/>
      <c r="AF347" s="963"/>
      <c r="AG347" s="963"/>
      <c r="AH347" s="554"/>
      <c r="AI347" s="554"/>
      <c r="AJ347" s="671"/>
      <c r="AK347" s="671"/>
      <c r="AL347" s="671"/>
      <c r="AM347" s="671"/>
      <c r="AN347" s="671"/>
      <c r="AO347" s="671"/>
      <c r="AP347" s="671"/>
      <c r="AQ347" s="671"/>
      <c r="AR347" s="671"/>
      <c r="AS347" s="671"/>
      <c r="AT347" s="190" t="s">
        <v>132</v>
      </c>
      <c r="AU347" s="575"/>
      <c r="AV347" s="576"/>
      <c r="AW347" s="576"/>
      <c r="AX347" s="576"/>
      <c r="AY347" s="576"/>
      <c r="AZ347" s="576"/>
      <c r="BA347" s="576"/>
      <c r="BB347" s="577"/>
      <c r="BC347" s="604"/>
      <c r="BD347" s="609"/>
      <c r="BE347" s="309"/>
      <c r="BF347" s="310"/>
    </row>
    <row r="348" spans="1:58" s="168" customFormat="1" ht="35.1" customHeight="1" x14ac:dyDescent="0.25">
      <c r="A348" s="731"/>
      <c r="B348" s="664"/>
      <c r="C348" s="673">
        <v>5</v>
      </c>
      <c r="D348" s="817"/>
      <c r="E348" s="953" t="s">
        <v>577</v>
      </c>
      <c r="F348" s="939">
        <v>0.3</v>
      </c>
      <c r="G348" s="940" t="s">
        <v>578</v>
      </c>
      <c r="H348" s="939">
        <v>0.5</v>
      </c>
      <c r="I348" s="804" t="s">
        <v>579</v>
      </c>
      <c r="J348" s="939">
        <v>0.5</v>
      </c>
      <c r="K348" s="804" t="s">
        <v>580</v>
      </c>
      <c r="L348" s="804" t="s">
        <v>581</v>
      </c>
      <c r="M348" s="736" t="s">
        <v>582</v>
      </c>
      <c r="N348" s="314"/>
      <c r="O348" s="314"/>
      <c r="P348" s="943">
        <v>0.1</v>
      </c>
      <c r="Q348" s="943">
        <v>1</v>
      </c>
      <c r="R348" s="943">
        <v>1</v>
      </c>
      <c r="S348" s="944">
        <v>1</v>
      </c>
      <c r="T348" s="945" t="s">
        <v>91</v>
      </c>
      <c r="U348" s="164" t="s">
        <v>583</v>
      </c>
      <c r="V348" s="315"/>
      <c r="W348" s="315"/>
      <c r="X348" s="315"/>
      <c r="Y348" s="316"/>
      <c r="Z348" s="317"/>
      <c r="AA348" s="317"/>
      <c r="AB348" s="317"/>
      <c r="AC348" s="317"/>
      <c r="AD348" s="722" t="s">
        <v>90</v>
      </c>
      <c r="AE348" s="722" t="s">
        <v>90</v>
      </c>
      <c r="AF348" s="722" t="s">
        <v>90</v>
      </c>
      <c r="AG348" s="722" t="s">
        <v>90</v>
      </c>
      <c r="AH348" s="950" t="s">
        <v>584</v>
      </c>
      <c r="AI348" s="950" t="s">
        <v>584</v>
      </c>
      <c r="AJ348" s="949" t="s">
        <v>94</v>
      </c>
      <c r="AK348" s="949"/>
      <c r="AL348" s="949" t="s">
        <v>94</v>
      </c>
      <c r="AM348" s="949"/>
      <c r="AN348" s="713"/>
      <c r="AO348" s="722" t="s">
        <v>94</v>
      </c>
      <c r="AP348" s="713"/>
      <c r="AQ348" s="713" t="s">
        <v>94</v>
      </c>
      <c r="AR348" s="713"/>
      <c r="AS348" s="713"/>
      <c r="AT348" s="190" t="s">
        <v>129</v>
      </c>
      <c r="AU348" s="318">
        <f t="shared" ref="AU348:BB348" si="288">+V350*$J$348</f>
        <v>0</v>
      </c>
      <c r="AV348" s="318">
        <f t="shared" si="288"/>
        <v>0</v>
      </c>
      <c r="AW348" s="318">
        <f t="shared" si="288"/>
        <v>0</v>
      </c>
      <c r="AX348" s="203">
        <f t="shared" si="288"/>
        <v>0</v>
      </c>
      <c r="AY348" s="318">
        <f t="shared" si="288"/>
        <v>0</v>
      </c>
      <c r="AZ348" s="318">
        <f t="shared" si="288"/>
        <v>0</v>
      </c>
      <c r="BA348" s="318">
        <f t="shared" si="288"/>
        <v>0</v>
      </c>
      <c r="BB348" s="204">
        <f t="shared" si="288"/>
        <v>0</v>
      </c>
      <c r="BC348" s="602">
        <f>+BB350</f>
        <v>0</v>
      </c>
      <c r="BD348" s="609"/>
      <c r="BE348" s="246"/>
      <c r="BF348" s="941"/>
    </row>
    <row r="349" spans="1:58" s="168" customFormat="1" ht="35.1" customHeight="1" thickBot="1" x14ac:dyDescent="0.3">
      <c r="A349" s="731"/>
      <c r="B349" s="664"/>
      <c r="C349" s="673"/>
      <c r="D349" s="817"/>
      <c r="E349" s="953"/>
      <c r="F349" s="939"/>
      <c r="G349" s="940"/>
      <c r="H349" s="939"/>
      <c r="I349" s="804"/>
      <c r="J349" s="939"/>
      <c r="K349" s="804"/>
      <c r="L349" s="804"/>
      <c r="M349" s="737"/>
      <c r="N349" s="319" t="s">
        <v>90</v>
      </c>
      <c r="O349" s="319">
        <v>11658</v>
      </c>
      <c r="P349" s="943"/>
      <c r="Q349" s="943"/>
      <c r="R349" s="943"/>
      <c r="S349" s="944"/>
      <c r="T349" s="946"/>
      <c r="U349" s="320" t="s">
        <v>585</v>
      </c>
      <c r="V349" s="174">
        <v>0.01</v>
      </c>
      <c r="W349" s="174">
        <v>0.01</v>
      </c>
      <c r="X349" s="174">
        <v>0.1</v>
      </c>
      <c r="Y349" s="174">
        <v>1</v>
      </c>
      <c r="Z349" s="174">
        <f t="shared" ref="Z349:AC349" si="289">+V349</f>
        <v>0.01</v>
      </c>
      <c r="AA349" s="174">
        <f t="shared" si="289"/>
        <v>0.01</v>
      </c>
      <c r="AB349" s="174">
        <f t="shared" si="289"/>
        <v>0.1</v>
      </c>
      <c r="AC349" s="174">
        <f t="shared" si="289"/>
        <v>1</v>
      </c>
      <c r="AD349" s="723"/>
      <c r="AE349" s="723"/>
      <c r="AF349" s="723"/>
      <c r="AG349" s="723"/>
      <c r="AH349" s="951"/>
      <c r="AI349" s="951"/>
      <c r="AJ349" s="949"/>
      <c r="AK349" s="949"/>
      <c r="AL349" s="949"/>
      <c r="AM349" s="949"/>
      <c r="AN349" s="714"/>
      <c r="AO349" s="723"/>
      <c r="AP349" s="714"/>
      <c r="AQ349" s="714"/>
      <c r="AR349" s="714"/>
      <c r="AS349" s="714"/>
      <c r="AT349" s="190" t="s">
        <v>131</v>
      </c>
      <c r="AU349" s="203">
        <f>+(AU348+AU351)*$H$348</f>
        <v>0</v>
      </c>
      <c r="AV349" s="203">
        <f t="shared" ref="AV349:BB349" si="290">+(AV348+AV351)*$H$348</f>
        <v>0</v>
      </c>
      <c r="AW349" s="203">
        <f t="shared" si="290"/>
        <v>0</v>
      </c>
      <c r="AX349" s="203">
        <f t="shared" si="290"/>
        <v>0</v>
      </c>
      <c r="AY349" s="203">
        <f t="shared" si="290"/>
        <v>0</v>
      </c>
      <c r="AZ349" s="203">
        <f t="shared" si="290"/>
        <v>0</v>
      </c>
      <c r="BA349" s="203">
        <f t="shared" si="290"/>
        <v>0</v>
      </c>
      <c r="BB349" s="203">
        <f t="shared" si="290"/>
        <v>0</v>
      </c>
      <c r="BC349" s="603"/>
      <c r="BD349" s="609"/>
      <c r="BE349" s="246"/>
      <c r="BF349" s="941"/>
    </row>
    <row r="350" spans="1:58" s="168" customFormat="1" ht="24.95" customHeight="1" thickBot="1" x14ac:dyDescent="0.3">
      <c r="A350" s="731"/>
      <c r="B350" s="664"/>
      <c r="C350" s="673"/>
      <c r="D350" s="817"/>
      <c r="E350" s="953"/>
      <c r="F350" s="939"/>
      <c r="G350" s="940"/>
      <c r="H350" s="939"/>
      <c r="I350" s="804"/>
      <c r="J350" s="939"/>
      <c r="K350" s="804"/>
      <c r="L350" s="804"/>
      <c r="M350" s="738"/>
      <c r="N350" s="321"/>
      <c r="O350" s="321"/>
      <c r="P350" s="943"/>
      <c r="Q350" s="943"/>
      <c r="R350" s="943"/>
      <c r="S350" s="944"/>
      <c r="T350" s="947"/>
      <c r="U350" s="172" t="s">
        <v>96</v>
      </c>
      <c r="V350" s="318">
        <f t="shared" ref="V350:AC350" si="291">IF((V348/V349)&lt;$I$8,(V348/V349),IF((V348/V349)&lt;$J$8,(V348/V349),IF((V348/V349)&lt;$J$9,(V348/V349),IF((V348/V349)&gt;=$J$9,$J$9))))</f>
        <v>0</v>
      </c>
      <c r="W350" s="318">
        <f t="shared" si="291"/>
        <v>0</v>
      </c>
      <c r="X350" s="318">
        <f t="shared" si="291"/>
        <v>0</v>
      </c>
      <c r="Y350" s="123">
        <f t="shared" si="291"/>
        <v>0</v>
      </c>
      <c r="Z350" s="318">
        <f t="shared" si="291"/>
        <v>0</v>
      </c>
      <c r="AA350" s="318">
        <f t="shared" si="291"/>
        <v>0</v>
      </c>
      <c r="AB350" s="318">
        <f t="shared" si="291"/>
        <v>0</v>
      </c>
      <c r="AC350" s="123">
        <f t="shared" si="291"/>
        <v>0</v>
      </c>
      <c r="AD350" s="724"/>
      <c r="AE350" s="724"/>
      <c r="AF350" s="724"/>
      <c r="AG350" s="724"/>
      <c r="AH350" s="952"/>
      <c r="AI350" s="952"/>
      <c r="AJ350" s="949"/>
      <c r="AK350" s="949"/>
      <c r="AL350" s="949"/>
      <c r="AM350" s="949"/>
      <c r="AN350" s="715"/>
      <c r="AO350" s="724"/>
      <c r="AP350" s="715"/>
      <c r="AQ350" s="715"/>
      <c r="AR350" s="715"/>
      <c r="AS350" s="715"/>
      <c r="AT350" s="190" t="s">
        <v>132</v>
      </c>
      <c r="AU350" s="203">
        <f>+(AU349+AU355)*$F$348</f>
        <v>0</v>
      </c>
      <c r="AV350" s="203">
        <f t="shared" ref="AV350:BB350" si="292">+(AV349+AV355)*$F$348</f>
        <v>0</v>
      </c>
      <c r="AW350" s="203">
        <f t="shared" si="292"/>
        <v>0</v>
      </c>
      <c r="AX350" s="203">
        <f t="shared" si="292"/>
        <v>0</v>
      </c>
      <c r="AY350" s="203">
        <f t="shared" si="292"/>
        <v>0</v>
      </c>
      <c r="AZ350" s="203">
        <f t="shared" si="292"/>
        <v>0</v>
      </c>
      <c r="BA350" s="203">
        <f t="shared" si="292"/>
        <v>0</v>
      </c>
      <c r="BB350" s="308">
        <f t="shared" si="292"/>
        <v>0</v>
      </c>
      <c r="BC350" s="603"/>
      <c r="BD350" s="609"/>
      <c r="BE350" s="246"/>
      <c r="BF350" s="941"/>
    </row>
    <row r="351" spans="1:58" s="168" customFormat="1" ht="35.1" customHeight="1" x14ac:dyDescent="0.2">
      <c r="A351" s="280"/>
      <c r="B351" s="664"/>
      <c r="C351" s="673">
        <v>6</v>
      </c>
      <c r="D351" s="817"/>
      <c r="E351" s="953"/>
      <c r="F351" s="939"/>
      <c r="G351" s="940"/>
      <c r="H351" s="939"/>
      <c r="I351" s="804" t="s">
        <v>586</v>
      </c>
      <c r="J351" s="939">
        <v>0.5</v>
      </c>
      <c r="K351" s="804" t="s">
        <v>587</v>
      </c>
      <c r="L351" s="804" t="s">
        <v>588</v>
      </c>
      <c r="M351" s="736" t="s">
        <v>589</v>
      </c>
      <c r="N351" s="314"/>
      <c r="O351" s="314"/>
      <c r="P351" s="942">
        <v>0.1</v>
      </c>
      <c r="Q351" s="943">
        <v>0.28000000000000003</v>
      </c>
      <c r="R351" s="943">
        <v>0.35</v>
      </c>
      <c r="S351" s="944">
        <v>0.35</v>
      </c>
      <c r="T351" s="945" t="s">
        <v>590</v>
      </c>
      <c r="U351" s="164" t="s">
        <v>591</v>
      </c>
      <c r="V351" s="287"/>
      <c r="W351" s="287"/>
      <c r="X351" s="287"/>
      <c r="Y351" s="287"/>
      <c r="Z351" s="322"/>
      <c r="AA351" s="322"/>
      <c r="AB351" s="322"/>
      <c r="AC351" s="322"/>
      <c r="AD351" s="785" t="s">
        <v>90</v>
      </c>
      <c r="AE351" s="785" t="s">
        <v>90</v>
      </c>
      <c r="AF351" s="785" t="s">
        <v>90</v>
      </c>
      <c r="AG351" s="785" t="s">
        <v>90</v>
      </c>
      <c r="AH351" s="936" t="s">
        <v>592</v>
      </c>
      <c r="AI351" s="794" t="s">
        <v>593</v>
      </c>
      <c r="AJ351" s="935" t="s">
        <v>94</v>
      </c>
      <c r="AK351" s="935"/>
      <c r="AL351" s="935"/>
      <c r="AM351" s="935"/>
      <c r="AN351" s="713"/>
      <c r="AO351" s="713"/>
      <c r="AP351" s="785" t="s">
        <v>94</v>
      </c>
      <c r="AQ351" s="713"/>
      <c r="AR351" s="713"/>
      <c r="AS351" s="713" t="s">
        <v>94</v>
      </c>
      <c r="AT351" s="190" t="s">
        <v>129</v>
      </c>
      <c r="AU351" s="318">
        <f t="shared" ref="AU351:BB351" si="293">+V353*$J$351</f>
        <v>0</v>
      </c>
      <c r="AV351" s="318">
        <f t="shared" si="293"/>
        <v>0</v>
      </c>
      <c r="AW351" s="318">
        <f t="shared" si="293"/>
        <v>0</v>
      </c>
      <c r="AX351" s="203">
        <f t="shared" si="293"/>
        <v>0</v>
      </c>
      <c r="AY351" s="318">
        <f t="shared" si="293"/>
        <v>0</v>
      </c>
      <c r="AZ351" s="318">
        <f t="shared" si="293"/>
        <v>0</v>
      </c>
      <c r="BA351" s="318">
        <f t="shared" si="293"/>
        <v>0</v>
      </c>
      <c r="BB351" s="204">
        <f t="shared" si="293"/>
        <v>0</v>
      </c>
      <c r="BC351" s="603"/>
      <c r="BD351" s="609"/>
      <c r="BE351" s="246"/>
      <c r="BF351" s="323"/>
    </row>
    <row r="352" spans="1:58" s="168" customFormat="1" ht="35.1" customHeight="1" x14ac:dyDescent="0.2">
      <c r="A352" s="280"/>
      <c r="B352" s="664"/>
      <c r="C352" s="673"/>
      <c r="D352" s="817"/>
      <c r="E352" s="953"/>
      <c r="F352" s="939"/>
      <c r="G352" s="940"/>
      <c r="H352" s="939"/>
      <c r="I352" s="804"/>
      <c r="J352" s="939"/>
      <c r="K352" s="804"/>
      <c r="L352" s="804"/>
      <c r="M352" s="737"/>
      <c r="N352" s="319" t="s">
        <v>594</v>
      </c>
      <c r="O352" s="319">
        <v>11658</v>
      </c>
      <c r="P352" s="942"/>
      <c r="Q352" s="943"/>
      <c r="R352" s="943"/>
      <c r="S352" s="944"/>
      <c r="T352" s="946"/>
      <c r="U352" s="320" t="s">
        <v>595</v>
      </c>
      <c r="V352" s="324">
        <v>1E-4</v>
      </c>
      <c r="W352" s="324">
        <v>1E-4</v>
      </c>
      <c r="X352" s="324">
        <v>1E-4</v>
      </c>
      <c r="Y352" s="324">
        <v>0.35</v>
      </c>
      <c r="Z352" s="324">
        <v>1E-4</v>
      </c>
      <c r="AA352" s="324">
        <v>1E-4</v>
      </c>
      <c r="AB352" s="324">
        <v>1E-4</v>
      </c>
      <c r="AC352" s="324">
        <v>0.35</v>
      </c>
      <c r="AD352" s="786"/>
      <c r="AE352" s="786"/>
      <c r="AF352" s="786"/>
      <c r="AG352" s="786"/>
      <c r="AH352" s="937"/>
      <c r="AI352" s="795"/>
      <c r="AJ352" s="935"/>
      <c r="AK352" s="935"/>
      <c r="AL352" s="935"/>
      <c r="AM352" s="935"/>
      <c r="AN352" s="714"/>
      <c r="AO352" s="714"/>
      <c r="AP352" s="786"/>
      <c r="AQ352" s="714"/>
      <c r="AR352" s="714"/>
      <c r="AS352" s="714"/>
      <c r="AT352" s="190" t="s">
        <v>131</v>
      </c>
      <c r="AU352" s="575"/>
      <c r="AV352" s="576"/>
      <c r="AW352" s="576"/>
      <c r="AX352" s="576"/>
      <c r="AY352" s="576"/>
      <c r="AZ352" s="576"/>
      <c r="BA352" s="576"/>
      <c r="BB352" s="577"/>
      <c r="BC352" s="603"/>
      <c r="BD352" s="609"/>
      <c r="BE352" s="246"/>
      <c r="BF352" s="323"/>
    </row>
    <row r="353" spans="1:58" s="168" customFormat="1" ht="24.95" customHeight="1" x14ac:dyDescent="0.2">
      <c r="A353" s="280"/>
      <c r="B353" s="664"/>
      <c r="C353" s="673"/>
      <c r="D353" s="817"/>
      <c r="E353" s="953"/>
      <c r="F353" s="939"/>
      <c r="G353" s="940"/>
      <c r="H353" s="939"/>
      <c r="I353" s="804"/>
      <c r="J353" s="939"/>
      <c r="K353" s="804"/>
      <c r="L353" s="804"/>
      <c r="M353" s="738"/>
      <c r="N353" s="321"/>
      <c r="O353" s="321"/>
      <c r="P353" s="942"/>
      <c r="Q353" s="943"/>
      <c r="R353" s="943"/>
      <c r="S353" s="944"/>
      <c r="T353" s="947"/>
      <c r="U353" s="172" t="s">
        <v>96</v>
      </c>
      <c r="V353" s="318">
        <f t="shared" ref="V353:AC353" si="294">IF((V351/V352)&lt;$I$8,(V351/V352),IF((V351/V352)&lt;$J$8,(V351/V352),IF((V351/V352)&lt;$J$9,(V351/V352),IF((V351/V352)&gt;=$J$9,$J$9))))</f>
        <v>0</v>
      </c>
      <c r="W353" s="318">
        <f t="shared" si="294"/>
        <v>0</v>
      </c>
      <c r="X353" s="318">
        <f t="shared" si="294"/>
        <v>0</v>
      </c>
      <c r="Y353" s="123">
        <f t="shared" si="294"/>
        <v>0</v>
      </c>
      <c r="Z353" s="318">
        <f t="shared" si="294"/>
        <v>0</v>
      </c>
      <c r="AA353" s="318">
        <f t="shared" si="294"/>
        <v>0</v>
      </c>
      <c r="AB353" s="318">
        <f t="shared" si="294"/>
        <v>0</v>
      </c>
      <c r="AC353" s="123">
        <f t="shared" si="294"/>
        <v>0</v>
      </c>
      <c r="AD353" s="787"/>
      <c r="AE353" s="787"/>
      <c r="AF353" s="787"/>
      <c r="AG353" s="787"/>
      <c r="AH353" s="938"/>
      <c r="AI353" s="796"/>
      <c r="AJ353" s="935"/>
      <c r="AK353" s="935"/>
      <c r="AL353" s="935"/>
      <c r="AM353" s="935"/>
      <c r="AN353" s="715"/>
      <c r="AO353" s="715"/>
      <c r="AP353" s="787"/>
      <c r="AQ353" s="715"/>
      <c r="AR353" s="715"/>
      <c r="AS353" s="715"/>
      <c r="AT353" s="190" t="s">
        <v>132</v>
      </c>
      <c r="AU353" s="575"/>
      <c r="AV353" s="576"/>
      <c r="AW353" s="576"/>
      <c r="AX353" s="576"/>
      <c r="AY353" s="576"/>
      <c r="AZ353" s="576"/>
      <c r="BA353" s="576"/>
      <c r="BB353" s="577"/>
      <c r="BC353" s="603"/>
      <c r="BD353" s="609"/>
      <c r="BE353" s="246"/>
      <c r="BF353" s="323"/>
    </row>
    <row r="354" spans="1:58" s="168" customFormat="1" ht="35.1" customHeight="1" x14ac:dyDescent="0.25">
      <c r="A354" s="731"/>
      <c r="B354" s="664"/>
      <c r="C354" s="665">
        <v>7</v>
      </c>
      <c r="D354" s="817"/>
      <c r="E354" s="953"/>
      <c r="F354" s="939"/>
      <c r="G354" s="940" t="s">
        <v>596</v>
      </c>
      <c r="H354" s="939">
        <v>0.5</v>
      </c>
      <c r="I354" s="804" t="s">
        <v>597</v>
      </c>
      <c r="J354" s="939">
        <v>1</v>
      </c>
      <c r="K354" s="804" t="s">
        <v>598</v>
      </c>
      <c r="L354" s="804" t="s">
        <v>599</v>
      </c>
      <c r="M354" s="736" t="s">
        <v>600</v>
      </c>
      <c r="N354" s="736" t="s">
        <v>601</v>
      </c>
      <c r="O354" s="736" t="s">
        <v>602</v>
      </c>
      <c r="P354" s="744">
        <v>0.1</v>
      </c>
      <c r="Q354" s="732">
        <v>0.52</v>
      </c>
      <c r="R354" s="732">
        <v>0.8</v>
      </c>
      <c r="S354" s="948">
        <v>0.8</v>
      </c>
      <c r="T354" s="945" t="s">
        <v>91</v>
      </c>
      <c r="U354" s="164" t="s">
        <v>603</v>
      </c>
      <c r="V354" s="315"/>
      <c r="W354" s="315"/>
      <c r="X354" s="315"/>
      <c r="Y354" s="315"/>
      <c r="Z354" s="130"/>
      <c r="AA354" s="130"/>
      <c r="AB354" s="130"/>
      <c r="AC354" s="130"/>
      <c r="AD354" s="785" t="s">
        <v>90</v>
      </c>
      <c r="AE354" s="785" t="s">
        <v>90</v>
      </c>
      <c r="AF354" s="785" t="s">
        <v>90</v>
      </c>
      <c r="AG354" s="785" t="s">
        <v>90</v>
      </c>
      <c r="AH354" s="936" t="s">
        <v>604</v>
      </c>
      <c r="AI354" s="794" t="s">
        <v>605</v>
      </c>
      <c r="AJ354" s="935" t="s">
        <v>94</v>
      </c>
      <c r="AK354" s="935"/>
      <c r="AL354" s="935"/>
      <c r="AM354" s="935"/>
      <c r="AN354" s="713"/>
      <c r="AO354" s="785" t="s">
        <v>94</v>
      </c>
      <c r="AP354" s="713"/>
      <c r="AQ354" s="713" t="s">
        <v>94</v>
      </c>
      <c r="AR354" s="713"/>
      <c r="AS354" s="713"/>
      <c r="AT354" s="190" t="s">
        <v>129</v>
      </c>
      <c r="AU354" s="123">
        <f t="shared" ref="AU354:BB354" si="295">+V356*$J$354</f>
        <v>0</v>
      </c>
      <c r="AV354" s="123">
        <f t="shared" si="295"/>
        <v>0</v>
      </c>
      <c r="AW354" s="123">
        <f t="shared" si="295"/>
        <v>0</v>
      </c>
      <c r="AX354" s="123">
        <f t="shared" si="295"/>
        <v>0</v>
      </c>
      <c r="AY354" s="123">
        <f t="shared" si="295"/>
        <v>0</v>
      </c>
      <c r="AZ354" s="123">
        <f t="shared" si="295"/>
        <v>0</v>
      </c>
      <c r="BA354" s="123">
        <f t="shared" si="295"/>
        <v>0</v>
      </c>
      <c r="BB354" s="123">
        <f t="shared" si="295"/>
        <v>0</v>
      </c>
      <c r="BC354" s="603"/>
      <c r="BD354" s="609"/>
      <c r="BE354" s="246"/>
      <c r="BF354" s="941"/>
    </row>
    <row r="355" spans="1:58" s="168" customFormat="1" ht="35.1" customHeight="1" x14ac:dyDescent="0.25">
      <c r="A355" s="731"/>
      <c r="B355" s="664"/>
      <c r="C355" s="665"/>
      <c r="D355" s="817"/>
      <c r="E355" s="953"/>
      <c r="F355" s="939"/>
      <c r="G355" s="940"/>
      <c r="H355" s="939"/>
      <c r="I355" s="804"/>
      <c r="J355" s="939"/>
      <c r="K355" s="804"/>
      <c r="L355" s="804"/>
      <c r="M355" s="737"/>
      <c r="N355" s="737"/>
      <c r="O355" s="737"/>
      <c r="P355" s="744"/>
      <c r="Q355" s="732"/>
      <c r="R355" s="732"/>
      <c r="S355" s="948"/>
      <c r="T355" s="946"/>
      <c r="U355" s="320" t="s">
        <v>606</v>
      </c>
      <c r="V355" s="174">
        <v>1157</v>
      </c>
      <c r="W355" s="174">
        <v>709</v>
      </c>
      <c r="X355" s="174">
        <v>0.1</v>
      </c>
      <c r="Y355" s="174">
        <v>0.1</v>
      </c>
      <c r="Z355" s="174">
        <f t="shared" ref="Z355:AC355" si="296">+V355</f>
        <v>1157</v>
      </c>
      <c r="AA355" s="174">
        <f>+V355+W355</f>
        <v>1866</v>
      </c>
      <c r="AB355" s="174">
        <f t="shared" si="296"/>
        <v>0.1</v>
      </c>
      <c r="AC355" s="174">
        <f t="shared" si="296"/>
        <v>0.1</v>
      </c>
      <c r="AD355" s="786"/>
      <c r="AE355" s="786"/>
      <c r="AF355" s="786"/>
      <c r="AG355" s="786"/>
      <c r="AH355" s="937"/>
      <c r="AI355" s="795"/>
      <c r="AJ355" s="935"/>
      <c r="AK355" s="935"/>
      <c r="AL355" s="935"/>
      <c r="AM355" s="935"/>
      <c r="AN355" s="714"/>
      <c r="AO355" s="786"/>
      <c r="AP355" s="714"/>
      <c r="AQ355" s="714"/>
      <c r="AR355" s="714"/>
      <c r="AS355" s="714"/>
      <c r="AT355" s="190" t="s">
        <v>131</v>
      </c>
      <c r="AU355" s="203">
        <f>+AU354*$H$354</f>
        <v>0</v>
      </c>
      <c r="AV355" s="203">
        <f t="shared" ref="AV355:BB355" si="297">+AV354*$H$354</f>
        <v>0</v>
      </c>
      <c r="AW355" s="203">
        <f t="shared" si="297"/>
        <v>0</v>
      </c>
      <c r="AX355" s="203">
        <f t="shared" si="297"/>
        <v>0</v>
      </c>
      <c r="AY355" s="203">
        <f t="shared" si="297"/>
        <v>0</v>
      </c>
      <c r="AZ355" s="203">
        <f t="shared" si="297"/>
        <v>0</v>
      </c>
      <c r="BA355" s="203">
        <f t="shared" si="297"/>
        <v>0</v>
      </c>
      <c r="BB355" s="203">
        <f t="shared" si="297"/>
        <v>0</v>
      </c>
      <c r="BC355" s="603"/>
      <c r="BD355" s="609"/>
      <c r="BE355" s="246"/>
      <c r="BF355" s="941"/>
    </row>
    <row r="356" spans="1:58" s="168" customFormat="1" ht="24.95" customHeight="1" thickBot="1" x14ac:dyDescent="0.3">
      <c r="A356" s="731"/>
      <c r="B356" s="664"/>
      <c r="C356" s="665"/>
      <c r="D356" s="818"/>
      <c r="E356" s="953"/>
      <c r="F356" s="939"/>
      <c r="G356" s="940"/>
      <c r="H356" s="939"/>
      <c r="I356" s="804"/>
      <c r="J356" s="939"/>
      <c r="K356" s="804"/>
      <c r="L356" s="804"/>
      <c r="M356" s="738"/>
      <c r="N356" s="738"/>
      <c r="O356" s="738"/>
      <c r="P356" s="744"/>
      <c r="Q356" s="732"/>
      <c r="R356" s="732"/>
      <c r="S356" s="948"/>
      <c r="T356" s="947"/>
      <c r="U356" s="172" t="s">
        <v>96</v>
      </c>
      <c r="V356" s="123">
        <f t="shared" ref="V356:AC356" si="298">IF((V354/V355)&lt;$I$8,(V354/V355),IF((V354/V355)&lt;$J$8,(V354/V355),IF((V354/V355)&lt;$J$9,(V354/V355),IF((V354/V355)&gt;=$J$9,$J$9))))</f>
        <v>0</v>
      </c>
      <c r="W356" s="123">
        <f t="shared" si="298"/>
        <v>0</v>
      </c>
      <c r="X356" s="123">
        <f t="shared" si="298"/>
        <v>0</v>
      </c>
      <c r="Y356" s="123">
        <f t="shared" si="298"/>
        <v>0</v>
      </c>
      <c r="Z356" s="123">
        <f t="shared" si="298"/>
        <v>0</v>
      </c>
      <c r="AA356" s="123">
        <f t="shared" si="298"/>
        <v>0</v>
      </c>
      <c r="AB356" s="123">
        <f t="shared" si="298"/>
        <v>0</v>
      </c>
      <c r="AC356" s="123">
        <f t="shared" si="298"/>
        <v>0</v>
      </c>
      <c r="AD356" s="787"/>
      <c r="AE356" s="787"/>
      <c r="AF356" s="787"/>
      <c r="AG356" s="787"/>
      <c r="AH356" s="938"/>
      <c r="AI356" s="796"/>
      <c r="AJ356" s="935"/>
      <c r="AK356" s="935"/>
      <c r="AL356" s="935"/>
      <c r="AM356" s="935"/>
      <c r="AN356" s="715"/>
      <c r="AO356" s="787"/>
      <c r="AP356" s="715"/>
      <c r="AQ356" s="715"/>
      <c r="AR356" s="715"/>
      <c r="AS356" s="715"/>
      <c r="AT356" s="190" t="s">
        <v>132</v>
      </c>
      <c r="AU356" s="599"/>
      <c r="AV356" s="600"/>
      <c r="AW356" s="600"/>
      <c r="AX356" s="600"/>
      <c r="AY356" s="600"/>
      <c r="AZ356" s="600"/>
      <c r="BA356" s="600"/>
      <c r="BB356" s="601"/>
      <c r="BC356" s="604"/>
      <c r="BD356" s="610"/>
      <c r="BE356" s="246"/>
      <c r="BF356" s="941"/>
    </row>
    <row r="357" spans="1:58" s="159" customFormat="1" ht="24.95" hidden="1" customHeight="1" thickBot="1" x14ac:dyDescent="0.3">
      <c r="A357" s="44"/>
      <c r="B357" s="151"/>
      <c r="C357" s="178">
        <f>+C354+C323</f>
        <v>65</v>
      </c>
      <c r="D357" s="144"/>
      <c r="E357" s="142"/>
      <c r="F357" s="154"/>
      <c r="G357" s="154"/>
      <c r="H357" s="154"/>
      <c r="I357" s="155"/>
      <c r="J357" s="154"/>
      <c r="K357" s="155"/>
      <c r="L357" s="155"/>
      <c r="M357" s="155"/>
      <c r="N357" s="155"/>
      <c r="O357" s="155"/>
      <c r="P357" s="154"/>
      <c r="Q357" s="154"/>
      <c r="R357" s="154"/>
      <c r="S357" s="154"/>
      <c r="T357" s="154"/>
      <c r="U357" s="214"/>
      <c r="V357" s="157"/>
      <c r="W357" s="157"/>
      <c r="X357" s="157"/>
      <c r="Y357" s="157"/>
      <c r="Z357" s="157"/>
      <c r="AA357" s="157"/>
      <c r="AB357" s="157"/>
      <c r="AC357" s="157"/>
      <c r="AD357" s="158"/>
      <c r="AE357" s="157"/>
      <c r="AF357" s="157"/>
      <c r="AG357" s="157"/>
      <c r="AH357" s="157"/>
      <c r="AI357" s="157"/>
      <c r="AJ357" s="145">
        <f>COUNTA(AJ336:AJ356)</f>
        <v>7</v>
      </c>
      <c r="AK357" s="145">
        <f t="shared" ref="AK357:AS357" si="299">COUNTA(AK336:AK356)</f>
        <v>0</v>
      </c>
      <c r="AL357" s="145">
        <f t="shared" si="299"/>
        <v>1</v>
      </c>
      <c r="AM357" s="145">
        <f t="shared" si="299"/>
        <v>0</v>
      </c>
      <c r="AN357" s="145">
        <f t="shared" si="299"/>
        <v>2</v>
      </c>
      <c r="AO357" s="145">
        <f t="shared" si="299"/>
        <v>4</v>
      </c>
      <c r="AP357" s="145">
        <f t="shared" si="299"/>
        <v>1</v>
      </c>
      <c r="AQ357" s="145">
        <f t="shared" si="299"/>
        <v>5</v>
      </c>
      <c r="AR357" s="145">
        <f t="shared" si="299"/>
        <v>1</v>
      </c>
      <c r="AS357" s="145">
        <f t="shared" si="299"/>
        <v>1</v>
      </c>
      <c r="AT357" s="157"/>
      <c r="AU357" s="267">
        <f>+AU338+AU344+AU350</f>
        <v>0</v>
      </c>
      <c r="AV357" s="267">
        <f t="shared" ref="AV357:BB357" si="300">+AV338+AV344+AV350</f>
        <v>0</v>
      </c>
      <c r="AW357" s="267">
        <f t="shared" si="300"/>
        <v>0</v>
      </c>
      <c r="AX357" s="267">
        <f t="shared" si="300"/>
        <v>0</v>
      </c>
      <c r="AY357" s="205">
        <f t="shared" si="300"/>
        <v>0</v>
      </c>
      <c r="AZ357" s="267">
        <f t="shared" si="300"/>
        <v>0</v>
      </c>
      <c r="BA357" s="267">
        <f t="shared" si="300"/>
        <v>0</v>
      </c>
      <c r="BB357" s="267">
        <f t="shared" si="300"/>
        <v>0</v>
      </c>
      <c r="BC357" s="157"/>
      <c r="BD357" s="157"/>
      <c r="BE357" s="157"/>
      <c r="BF357" s="49"/>
    </row>
    <row r="358" spans="1:58" s="159" customFormat="1" ht="20.100000000000001" hidden="1" customHeight="1" x14ac:dyDescent="0.25">
      <c r="A358" s="271"/>
      <c r="B358" s="272"/>
      <c r="C358" s="107"/>
      <c r="D358" s="273"/>
      <c r="E358" s="144"/>
      <c r="F358" s="154"/>
      <c r="G358" s="154"/>
      <c r="H358" s="154"/>
      <c r="I358" s="155"/>
      <c r="J358" s="154"/>
      <c r="K358" s="155"/>
      <c r="L358" s="155"/>
      <c r="M358" s="155"/>
      <c r="N358" s="155"/>
      <c r="O358" s="155"/>
      <c r="P358" s="155"/>
      <c r="Q358" s="646" t="s">
        <v>154</v>
      </c>
      <c r="R358" s="646"/>
      <c r="S358" s="646"/>
      <c r="T358" s="646"/>
      <c r="U358" s="646"/>
      <c r="V358" s="156">
        <v>3</v>
      </c>
      <c r="W358" s="156">
        <v>5</v>
      </c>
      <c r="X358" s="156">
        <v>3</v>
      </c>
      <c r="Y358" s="156">
        <v>7</v>
      </c>
      <c r="Z358" s="157"/>
      <c r="AA358" s="157"/>
      <c r="AB358" s="157"/>
      <c r="AC358" s="157"/>
      <c r="AD358" s="158"/>
      <c r="AE358" s="157"/>
      <c r="AF358" s="157"/>
      <c r="AG358" s="157"/>
      <c r="AH358" s="157"/>
      <c r="AI358" s="157"/>
      <c r="AJ358" s="157"/>
      <c r="AK358" s="157"/>
      <c r="AL358" s="157"/>
      <c r="AM358" s="157"/>
      <c r="AN358" s="157"/>
      <c r="AO358" s="157"/>
      <c r="AP358" s="157"/>
      <c r="AQ358" s="157"/>
      <c r="AR358" s="157"/>
      <c r="AS358" s="157"/>
      <c r="AT358" s="157"/>
      <c r="AU358" s="49"/>
      <c r="AV358" s="49"/>
      <c r="AW358" s="49"/>
      <c r="AX358" s="49"/>
      <c r="AY358" s="49"/>
      <c r="AZ358" s="49"/>
      <c r="BA358" s="49"/>
      <c r="BB358" s="49"/>
      <c r="BC358" s="49"/>
      <c r="BD358" s="49"/>
      <c r="BE358" s="49"/>
      <c r="BF358" s="49"/>
    </row>
    <row r="359" spans="1:58" ht="20.100000000000001" hidden="1" customHeight="1" x14ac:dyDescent="0.25">
      <c r="A359" s="271"/>
      <c r="B359" s="272"/>
      <c r="C359" s="107"/>
      <c r="D359" s="273"/>
      <c r="E359" s="144"/>
      <c r="F359" s="154"/>
      <c r="G359" s="154"/>
      <c r="H359" s="154"/>
      <c r="I359" s="155"/>
      <c r="J359" s="154"/>
      <c r="K359" s="155"/>
      <c r="L359" s="155"/>
      <c r="M359" s="155"/>
      <c r="N359" s="155"/>
      <c r="O359" s="155"/>
      <c r="P359" s="155"/>
      <c r="Q359" s="646" t="s">
        <v>155</v>
      </c>
      <c r="R359" s="646"/>
      <c r="S359" s="646"/>
      <c r="T359" s="646"/>
      <c r="U359" s="646"/>
      <c r="V359" s="161">
        <v>3</v>
      </c>
      <c r="W359" s="161">
        <f>3+2</f>
        <v>5</v>
      </c>
      <c r="X359" s="161"/>
      <c r="Y359" s="161"/>
      <c r="Z359" s="157"/>
      <c r="AA359" s="157"/>
      <c r="AB359" s="157"/>
      <c r="AC359" s="157"/>
      <c r="AD359" s="158"/>
      <c r="AE359" s="157"/>
      <c r="AF359" s="157"/>
      <c r="AG359" s="157"/>
      <c r="AH359" s="157"/>
      <c r="AI359" s="157"/>
      <c r="AJ359" s="157"/>
      <c r="AK359" s="157"/>
      <c r="AL359" s="157"/>
      <c r="AM359" s="157"/>
      <c r="AN359" s="157"/>
      <c r="AO359" s="157"/>
      <c r="AP359" s="157"/>
      <c r="AQ359" s="157"/>
      <c r="AR359" s="157"/>
      <c r="AS359" s="157"/>
      <c r="AT359" s="157"/>
      <c r="AU359" s="157"/>
      <c r="AV359" s="157"/>
      <c r="AW359" s="157"/>
      <c r="AX359" s="157"/>
      <c r="AY359" s="157"/>
      <c r="AZ359" s="157"/>
      <c r="BA359" s="157"/>
      <c r="BB359" s="157"/>
      <c r="BC359" s="157"/>
      <c r="BD359" s="157"/>
      <c r="BE359" s="48"/>
      <c r="BF359" s="49"/>
    </row>
    <row r="360" spans="1:58" ht="20.100000000000001" hidden="1" customHeight="1" x14ac:dyDescent="0.25">
      <c r="A360" s="271"/>
      <c r="B360" s="272"/>
      <c r="C360" s="107"/>
      <c r="D360" s="273"/>
      <c r="E360" s="144"/>
      <c r="F360" s="154"/>
      <c r="G360" s="154"/>
      <c r="H360" s="154"/>
      <c r="I360" s="155"/>
      <c r="J360" s="154"/>
      <c r="K360" s="155"/>
      <c r="L360" s="155"/>
      <c r="M360" s="155"/>
      <c r="N360" s="155"/>
      <c r="O360" s="155"/>
      <c r="P360" s="155"/>
      <c r="Q360" s="646" t="s">
        <v>156</v>
      </c>
      <c r="R360" s="646"/>
      <c r="S360" s="646"/>
      <c r="T360" s="646"/>
      <c r="U360" s="646"/>
      <c r="V360" s="161">
        <v>3</v>
      </c>
      <c r="W360" s="161">
        <f>3+2</f>
        <v>5</v>
      </c>
      <c r="X360" s="161"/>
      <c r="Y360" s="161"/>
      <c r="Z360" s="157"/>
      <c r="AA360" s="157"/>
      <c r="AB360" s="157"/>
      <c r="AC360" s="157"/>
      <c r="AD360" s="158"/>
      <c r="AE360" s="157"/>
      <c r="AF360" s="157"/>
      <c r="AG360" s="157"/>
      <c r="AH360" s="157"/>
      <c r="AI360" s="157"/>
      <c r="AJ360" s="157"/>
      <c r="AK360" s="157"/>
      <c r="AL360" s="157"/>
      <c r="AM360" s="157"/>
      <c r="AN360" s="157"/>
      <c r="AO360" s="157"/>
      <c r="AP360" s="157"/>
      <c r="AQ360" s="157"/>
      <c r="AR360" s="157"/>
      <c r="AS360" s="157"/>
      <c r="AT360" s="157"/>
      <c r="AU360" s="157"/>
      <c r="AV360" s="157"/>
      <c r="AW360" s="157"/>
      <c r="AX360" s="157"/>
      <c r="AY360" s="157"/>
      <c r="AZ360" s="157"/>
      <c r="BA360" s="157"/>
      <c r="BB360" s="157"/>
      <c r="BC360" s="157"/>
      <c r="BD360" s="157"/>
      <c r="BE360" s="48"/>
      <c r="BF360" s="49"/>
    </row>
    <row r="361" spans="1:58" ht="20.100000000000001" hidden="1" customHeight="1" x14ac:dyDescent="0.25">
      <c r="A361" s="271"/>
      <c r="B361" s="272"/>
      <c r="C361" s="107"/>
      <c r="D361" s="273"/>
      <c r="E361" s="144"/>
      <c r="F361" s="154"/>
      <c r="G361" s="154"/>
      <c r="H361" s="154"/>
      <c r="I361" s="155"/>
      <c r="J361" s="154"/>
      <c r="K361" s="155"/>
      <c r="L361" s="155"/>
      <c r="M361" s="155"/>
      <c r="N361" s="155"/>
      <c r="O361" s="155"/>
      <c r="P361" s="155"/>
      <c r="Q361" s="646" t="s">
        <v>157</v>
      </c>
      <c r="R361" s="646"/>
      <c r="S361" s="646"/>
      <c r="T361" s="646"/>
      <c r="U361" s="647"/>
      <c r="V361" s="161">
        <f>+V358-V359</f>
        <v>0</v>
      </c>
      <c r="W361" s="161">
        <f>+W358-W359</f>
        <v>0</v>
      </c>
      <c r="X361" s="161">
        <f>+X358-X359</f>
        <v>3</v>
      </c>
      <c r="Y361" s="161">
        <f>+Y358-Y359</f>
        <v>7</v>
      </c>
      <c r="Z361" s="157"/>
      <c r="AA361" s="157"/>
      <c r="AB361" s="157"/>
      <c r="AC361" s="157"/>
      <c r="AD361" s="158"/>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c r="BA361" s="157"/>
      <c r="BB361" s="157"/>
      <c r="BC361" s="157"/>
      <c r="BD361" s="157"/>
      <c r="BE361" s="48"/>
      <c r="BF361" s="49"/>
    </row>
    <row r="362" spans="1:58" ht="20.100000000000001" hidden="1" customHeight="1" x14ac:dyDescent="0.25">
      <c r="A362" s="271"/>
      <c r="B362" s="272"/>
      <c r="C362" s="107"/>
      <c r="D362" s="273"/>
      <c r="E362" s="273"/>
      <c r="F362" s="154"/>
      <c r="G362" s="154"/>
      <c r="H362" s="154"/>
      <c r="I362" s="155"/>
      <c r="J362" s="154"/>
      <c r="K362" s="155"/>
      <c r="L362" s="155"/>
      <c r="M362" s="155"/>
      <c r="N362" s="155"/>
      <c r="O362" s="155"/>
      <c r="P362" s="155"/>
      <c r="Q362" s="646" t="s">
        <v>158</v>
      </c>
      <c r="R362" s="646"/>
      <c r="S362" s="646"/>
      <c r="T362" s="646"/>
      <c r="U362" s="646"/>
      <c r="V362" s="156">
        <f>+V358</f>
        <v>3</v>
      </c>
      <c r="W362" s="156">
        <f>+W358</f>
        <v>5</v>
      </c>
      <c r="X362" s="156">
        <f>+X358</f>
        <v>3</v>
      </c>
      <c r="Y362" s="156">
        <f>+Y358</f>
        <v>7</v>
      </c>
      <c r="Z362" s="157"/>
      <c r="AA362" s="157"/>
      <c r="AB362" s="157"/>
      <c r="AC362" s="157"/>
      <c r="AD362" s="158"/>
      <c r="AE362" s="157"/>
      <c r="AF362" s="157"/>
      <c r="AG362" s="157"/>
      <c r="AH362" s="157"/>
      <c r="AI362" s="157"/>
      <c r="AJ362" s="157"/>
      <c r="AK362" s="157"/>
      <c r="AL362" s="157"/>
      <c r="AM362" s="157"/>
      <c r="AN362" s="157"/>
      <c r="AO362" s="157"/>
      <c r="AP362" s="157"/>
      <c r="AQ362" s="157"/>
      <c r="AR362" s="157"/>
      <c r="AS362" s="157"/>
      <c r="AT362" s="157"/>
      <c r="AU362" s="48"/>
      <c r="AV362" s="48"/>
      <c r="AW362" s="48"/>
      <c r="AX362" s="48"/>
      <c r="AY362" s="48"/>
      <c r="AZ362" s="48"/>
      <c r="BA362" s="48"/>
      <c r="BB362" s="48"/>
      <c r="BC362" s="48"/>
      <c r="BD362" s="48"/>
      <c r="BE362" s="48"/>
      <c r="BF362" s="49"/>
    </row>
    <row r="363" spans="1:58" ht="20.100000000000001" hidden="1" customHeight="1" x14ac:dyDescent="0.25">
      <c r="A363" s="271"/>
      <c r="B363" s="272"/>
      <c r="C363" s="107"/>
      <c r="D363" s="273"/>
      <c r="E363" s="273"/>
      <c r="F363" s="154"/>
      <c r="G363" s="154"/>
      <c r="H363" s="154"/>
      <c r="I363" s="155"/>
      <c r="J363" s="154"/>
      <c r="K363" s="155"/>
      <c r="L363" s="155"/>
      <c r="M363" s="155"/>
      <c r="N363" s="155"/>
      <c r="O363" s="155"/>
      <c r="P363" s="155"/>
      <c r="Q363" s="646" t="s">
        <v>159</v>
      </c>
      <c r="R363" s="646"/>
      <c r="S363" s="646"/>
      <c r="T363" s="646"/>
      <c r="U363" s="646"/>
      <c r="V363" s="161">
        <v>1</v>
      </c>
      <c r="W363" s="161">
        <f>1+2</f>
        <v>3</v>
      </c>
      <c r="X363" s="161"/>
      <c r="Y363" s="161"/>
      <c r="Z363" s="157"/>
      <c r="AA363" s="157"/>
      <c r="AB363" s="157"/>
      <c r="AC363" s="157"/>
      <c r="AD363" s="158"/>
      <c r="AE363" s="157"/>
      <c r="AF363" s="157"/>
      <c r="AG363" s="157"/>
      <c r="AH363" s="157"/>
      <c r="AI363" s="157"/>
      <c r="AJ363" s="157"/>
      <c r="AK363" s="157"/>
      <c r="AL363" s="157"/>
      <c r="AM363" s="157"/>
      <c r="AN363" s="157"/>
      <c r="AO363" s="157"/>
      <c r="AP363" s="157"/>
      <c r="AQ363" s="157"/>
      <c r="AR363" s="157"/>
      <c r="AS363" s="157"/>
      <c r="AT363" s="157"/>
      <c r="AU363" s="48"/>
      <c r="AV363" s="48"/>
      <c r="AW363" s="48"/>
      <c r="AX363" s="48"/>
      <c r="AY363" s="48"/>
      <c r="AZ363" s="48"/>
      <c r="BA363" s="48"/>
      <c r="BB363" s="48"/>
      <c r="BC363" s="48"/>
      <c r="BD363" s="48"/>
      <c r="BE363" s="48"/>
      <c r="BF363" s="49"/>
    </row>
    <row r="364" spans="1:58" ht="15" hidden="1" customHeight="1" x14ac:dyDescent="0.25">
      <c r="A364" s="79"/>
      <c r="B364" s="80"/>
      <c r="C364" s="88"/>
      <c r="D364" s="82"/>
      <c r="E364" s="82"/>
      <c r="F364" s="46"/>
      <c r="G364" s="46"/>
      <c r="H364" s="46"/>
      <c r="I364" s="46"/>
      <c r="J364" s="83"/>
      <c r="K364" s="46"/>
      <c r="L364" s="46"/>
      <c r="M364" s="46"/>
      <c r="N364" s="46"/>
      <c r="O364" s="46"/>
      <c r="P364" s="46"/>
      <c r="Q364" s="46"/>
      <c r="R364" s="46"/>
      <c r="S364" s="46"/>
      <c r="T364" s="46"/>
      <c r="U364" s="46"/>
      <c r="V364" s="73"/>
      <c r="W364" s="73"/>
      <c r="X364" s="73"/>
      <c r="Y364" s="73"/>
      <c r="Z364" s="46"/>
      <c r="AA364" s="46"/>
      <c r="AB364" s="46"/>
      <c r="AC364" s="46"/>
      <c r="AD364" s="47"/>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9"/>
    </row>
    <row r="365" spans="1:58" ht="24.95" customHeight="1" x14ac:dyDescent="0.25">
      <c r="A365" s="79"/>
      <c r="B365" s="80"/>
      <c r="C365" s="85"/>
      <c r="D365" s="934" t="s">
        <v>30</v>
      </c>
      <c r="E365" s="934"/>
      <c r="F365" s="934"/>
      <c r="G365" s="934"/>
      <c r="H365" s="934"/>
      <c r="I365" s="934"/>
      <c r="J365" s="934"/>
      <c r="K365" s="934"/>
      <c r="L365" s="934"/>
      <c r="M365" s="934"/>
      <c r="N365" s="934"/>
      <c r="O365" s="934"/>
      <c r="P365" s="934"/>
      <c r="Q365" s="934"/>
      <c r="R365" s="934"/>
      <c r="S365" s="934"/>
      <c r="T365" s="934"/>
      <c r="U365" s="934"/>
      <c r="V365" s="934"/>
      <c r="W365" s="934"/>
      <c r="X365" s="934"/>
      <c r="Y365" s="934"/>
      <c r="Z365" s="934"/>
      <c r="AA365" s="934"/>
      <c r="AB365" s="934"/>
      <c r="AC365" s="934"/>
      <c r="AD365" s="934"/>
      <c r="AE365" s="934"/>
      <c r="AF365" s="934"/>
      <c r="AG365" s="934"/>
      <c r="AH365" s="934"/>
      <c r="AI365" s="934"/>
      <c r="AJ365" s="934"/>
      <c r="AK365" s="934"/>
      <c r="AL365" s="934"/>
      <c r="AM365" s="934"/>
      <c r="AN365" s="934"/>
      <c r="AO365" s="934"/>
      <c r="AP365" s="934"/>
      <c r="AQ365" s="934"/>
      <c r="AR365" s="934"/>
      <c r="AS365" s="934"/>
      <c r="AT365" s="934" t="s">
        <v>102</v>
      </c>
      <c r="AU365" s="934"/>
      <c r="AV365" s="934"/>
      <c r="AW365" s="934"/>
      <c r="AX365" s="934"/>
      <c r="AY365" s="934"/>
      <c r="AZ365" s="934"/>
      <c r="BA365" s="934"/>
      <c r="BB365" s="934"/>
      <c r="BC365" s="934"/>
      <c r="BD365" s="934"/>
      <c r="BE365" s="48"/>
      <c r="BF365" s="49"/>
    </row>
    <row r="366" spans="1:58" ht="12.75" hidden="1" customHeight="1" x14ac:dyDescent="0.25">
      <c r="A366" s="79"/>
      <c r="B366" s="80"/>
      <c r="C366" s="85"/>
      <c r="D366" s="325"/>
      <c r="E366" s="325"/>
      <c r="F366" s="326"/>
      <c r="G366" s="42"/>
      <c r="H366" s="327"/>
      <c r="I366" s="42"/>
      <c r="J366" s="328"/>
      <c r="K366" s="42"/>
      <c r="L366" s="42"/>
      <c r="M366" s="42"/>
      <c r="N366" s="42"/>
      <c r="O366" s="42"/>
      <c r="P366" s="329"/>
      <c r="Q366" s="329"/>
      <c r="R366" s="329"/>
      <c r="S366" s="329"/>
      <c r="T366" s="329"/>
      <c r="U366" s="329"/>
      <c r="V366" s="329"/>
      <c r="W366" s="329"/>
      <c r="X366" s="329"/>
      <c r="Y366" s="329"/>
      <c r="Z366" s="329"/>
      <c r="AA366" s="329"/>
      <c r="AB366" s="329"/>
      <c r="AC366" s="329"/>
      <c r="AD366" s="330"/>
      <c r="AE366" s="214"/>
      <c r="AF366" s="214"/>
      <c r="AG366" s="214"/>
      <c r="AH366" s="214"/>
      <c r="AI366" s="214"/>
      <c r="AJ366" s="214"/>
      <c r="AK366" s="214"/>
      <c r="AL366" s="157"/>
      <c r="AM366" s="157"/>
      <c r="AN366" s="157"/>
      <c r="AO366" s="157"/>
      <c r="AP366" s="157"/>
      <c r="AQ366" s="157"/>
      <c r="AR366" s="157"/>
      <c r="AS366" s="157"/>
      <c r="AT366" s="157"/>
      <c r="AU366" s="48"/>
      <c r="AV366" s="48"/>
      <c r="AW366" s="48"/>
      <c r="AX366" s="48"/>
      <c r="AY366" s="48"/>
      <c r="AZ366" s="48"/>
      <c r="BA366" s="48"/>
      <c r="BB366" s="48"/>
      <c r="BC366" s="48"/>
      <c r="BD366" s="48"/>
      <c r="BE366" s="48"/>
      <c r="BF366" s="49"/>
    </row>
    <row r="367" spans="1:58" ht="20.100000000000001" hidden="1" customHeight="1" x14ac:dyDescent="0.25">
      <c r="A367" s="79"/>
      <c r="B367" s="80"/>
      <c r="C367" s="85"/>
      <c r="D367" s="109" t="s">
        <v>103</v>
      </c>
      <c r="E367" s="82"/>
      <c r="F367" s="46"/>
      <c r="G367" s="46"/>
      <c r="H367" s="46"/>
      <c r="I367" s="46"/>
      <c r="J367" s="83"/>
      <c r="K367" s="46"/>
      <c r="L367" s="46"/>
      <c r="M367" s="46"/>
      <c r="N367" s="46"/>
      <c r="O367" s="46"/>
      <c r="P367" s="46"/>
      <c r="Q367" s="46"/>
      <c r="R367" s="46"/>
      <c r="S367" s="46"/>
      <c r="T367" s="46"/>
      <c r="U367" s="46"/>
      <c r="V367" s="42"/>
      <c r="W367" s="46"/>
      <c r="X367" s="46"/>
      <c r="Y367" s="46"/>
      <c r="Z367" s="46"/>
      <c r="AA367" s="46"/>
      <c r="AB367" s="46"/>
      <c r="AC367" s="46"/>
      <c r="AD367" s="47"/>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9"/>
    </row>
    <row r="368" spans="1:58" ht="20.100000000000001" customHeight="1" x14ac:dyDescent="0.25">
      <c r="A368" s="79"/>
      <c r="B368" s="80"/>
      <c r="C368" s="85"/>
      <c r="D368" s="745" t="s">
        <v>32</v>
      </c>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c r="AA368" s="745"/>
      <c r="AB368" s="745"/>
      <c r="AC368" s="745"/>
      <c r="AD368" s="745"/>
      <c r="AE368" s="745"/>
      <c r="AF368" s="745"/>
      <c r="AG368" s="745"/>
      <c r="AH368" s="745"/>
      <c r="AI368" s="745"/>
      <c r="AJ368" s="745"/>
      <c r="AK368" s="745"/>
      <c r="AL368" s="745"/>
      <c r="AM368" s="745"/>
      <c r="AN368" s="745"/>
      <c r="AO368" s="745"/>
      <c r="AP368" s="745"/>
      <c r="AQ368" s="745"/>
      <c r="AR368" s="745"/>
      <c r="AS368" s="745"/>
      <c r="AT368" s="561" t="s">
        <v>104</v>
      </c>
      <c r="AU368" s="563"/>
      <c r="AV368" s="563"/>
      <c r="AW368" s="563"/>
      <c r="AX368" s="563"/>
      <c r="AY368" s="563"/>
      <c r="AZ368" s="563"/>
      <c r="BA368" s="563"/>
      <c r="BB368" s="562"/>
      <c r="BC368" s="561" t="s">
        <v>105</v>
      </c>
      <c r="BD368" s="562"/>
      <c r="BE368" s="48"/>
      <c r="BF368" s="49"/>
    </row>
    <row r="369" spans="1:58" ht="15" customHeight="1" x14ac:dyDescent="0.25">
      <c r="A369" s="79"/>
      <c r="B369" s="80"/>
      <c r="C369" s="85"/>
      <c r="D369" s="691" t="s">
        <v>106</v>
      </c>
      <c r="E369" s="691" t="s">
        <v>107</v>
      </c>
      <c r="F369" s="711" t="s">
        <v>108</v>
      </c>
      <c r="G369" s="691" t="s">
        <v>109</v>
      </c>
      <c r="H369" s="711" t="s">
        <v>110</v>
      </c>
      <c r="I369" s="691" t="s">
        <v>51</v>
      </c>
      <c r="J369" s="712" t="s">
        <v>111</v>
      </c>
      <c r="K369" s="691" t="s">
        <v>52</v>
      </c>
      <c r="L369" s="691"/>
      <c r="M369" s="691"/>
      <c r="N369" s="691" t="s">
        <v>53</v>
      </c>
      <c r="O369" s="691" t="s">
        <v>54</v>
      </c>
      <c r="P369" s="703" t="s">
        <v>55</v>
      </c>
      <c r="Q369" s="703" t="s">
        <v>56</v>
      </c>
      <c r="R369" s="703" t="s">
        <v>57</v>
      </c>
      <c r="S369" s="703" t="s">
        <v>58</v>
      </c>
      <c r="T369" s="703" t="s">
        <v>59</v>
      </c>
      <c r="U369" s="691" t="s">
        <v>60</v>
      </c>
      <c r="V369" s="691"/>
      <c r="W369" s="691"/>
      <c r="X369" s="691"/>
      <c r="Y369" s="691"/>
      <c r="Z369" s="704" t="s">
        <v>61</v>
      </c>
      <c r="AA369" s="705"/>
      <c r="AB369" s="705"/>
      <c r="AC369" s="706"/>
      <c r="AD369" s="707" t="s">
        <v>62</v>
      </c>
      <c r="AE369" s="708"/>
      <c r="AF369" s="709"/>
      <c r="AG369" s="695" t="s">
        <v>63</v>
      </c>
      <c r="AH369" s="695" t="s">
        <v>64</v>
      </c>
      <c r="AI369" s="695" t="s">
        <v>65</v>
      </c>
      <c r="AJ369" s="691" t="s">
        <v>66</v>
      </c>
      <c r="AK369" s="691"/>
      <c r="AL369" s="691"/>
      <c r="AM369" s="691"/>
      <c r="AN369" s="691"/>
      <c r="AO369" s="691"/>
      <c r="AP369" s="691"/>
      <c r="AQ369" s="691"/>
      <c r="AR369" s="691"/>
      <c r="AS369" s="691"/>
      <c r="AT369" s="558" t="s">
        <v>60</v>
      </c>
      <c r="AU369" s="569" t="s">
        <v>112</v>
      </c>
      <c r="AV369" s="570"/>
      <c r="AW369" s="570"/>
      <c r="AX369" s="571"/>
      <c r="AY369" s="569" t="s">
        <v>113</v>
      </c>
      <c r="AZ369" s="570"/>
      <c r="BA369" s="570"/>
      <c r="BB369" s="571"/>
      <c r="BC369" s="584" t="s">
        <v>114</v>
      </c>
      <c r="BD369" s="587" t="s">
        <v>102</v>
      </c>
      <c r="BE369" s="48"/>
      <c r="BF369" s="49"/>
    </row>
    <row r="370" spans="1:58" ht="15" customHeight="1" x14ac:dyDescent="0.25">
      <c r="A370" s="79"/>
      <c r="B370" s="80"/>
      <c r="C370" s="85"/>
      <c r="D370" s="691"/>
      <c r="E370" s="691"/>
      <c r="F370" s="711"/>
      <c r="G370" s="691"/>
      <c r="H370" s="711"/>
      <c r="I370" s="691"/>
      <c r="J370" s="712"/>
      <c r="K370" s="691"/>
      <c r="L370" s="691"/>
      <c r="M370" s="691"/>
      <c r="N370" s="691"/>
      <c r="O370" s="691"/>
      <c r="P370" s="703"/>
      <c r="Q370" s="703"/>
      <c r="R370" s="703"/>
      <c r="S370" s="703"/>
      <c r="T370" s="703"/>
      <c r="U370" s="691" t="s">
        <v>67</v>
      </c>
      <c r="V370" s="691"/>
      <c r="W370" s="691"/>
      <c r="X370" s="691"/>
      <c r="Y370" s="691"/>
      <c r="Z370" s="692" t="s">
        <v>67</v>
      </c>
      <c r="AA370" s="693"/>
      <c r="AB370" s="693"/>
      <c r="AC370" s="694"/>
      <c r="AD370" s="695" t="s">
        <v>68</v>
      </c>
      <c r="AE370" s="695" t="s">
        <v>69</v>
      </c>
      <c r="AF370" s="695" t="s">
        <v>70</v>
      </c>
      <c r="AG370" s="696"/>
      <c r="AH370" s="696"/>
      <c r="AI370" s="696"/>
      <c r="AJ370" s="691"/>
      <c r="AK370" s="691"/>
      <c r="AL370" s="691"/>
      <c r="AM370" s="691"/>
      <c r="AN370" s="691"/>
      <c r="AO370" s="691"/>
      <c r="AP370" s="691"/>
      <c r="AQ370" s="691"/>
      <c r="AR370" s="691"/>
      <c r="AS370" s="691"/>
      <c r="AT370" s="559"/>
      <c r="AU370" s="572"/>
      <c r="AV370" s="573"/>
      <c r="AW370" s="573"/>
      <c r="AX370" s="574"/>
      <c r="AY370" s="572"/>
      <c r="AZ370" s="573"/>
      <c r="BA370" s="573"/>
      <c r="BB370" s="574"/>
      <c r="BC370" s="585"/>
      <c r="BD370" s="588"/>
      <c r="BE370" s="48"/>
      <c r="BF370" s="49"/>
    </row>
    <row r="371" spans="1:58" s="95" customFormat="1" ht="24" customHeight="1" thickBot="1" x14ac:dyDescent="0.3">
      <c r="A371" s="86"/>
      <c r="B371" s="87"/>
      <c r="C371" s="88"/>
      <c r="D371" s="691"/>
      <c r="E371" s="691"/>
      <c r="F371" s="711"/>
      <c r="G371" s="691"/>
      <c r="H371" s="711"/>
      <c r="I371" s="691"/>
      <c r="J371" s="712"/>
      <c r="K371" s="89" t="s">
        <v>71</v>
      </c>
      <c r="L371" s="89" t="s">
        <v>115</v>
      </c>
      <c r="M371" s="89" t="s">
        <v>72</v>
      </c>
      <c r="N371" s="691"/>
      <c r="O371" s="691"/>
      <c r="P371" s="703"/>
      <c r="Q371" s="703"/>
      <c r="R371" s="703"/>
      <c r="S371" s="703"/>
      <c r="T371" s="703"/>
      <c r="U371" s="90" t="s">
        <v>73</v>
      </c>
      <c r="V371" s="89">
        <v>1</v>
      </c>
      <c r="W371" s="91">
        <v>2</v>
      </c>
      <c r="X371" s="91">
        <v>3</v>
      </c>
      <c r="Y371" s="91">
        <v>4</v>
      </c>
      <c r="Z371" s="162">
        <v>1</v>
      </c>
      <c r="AA371" s="110">
        <v>2</v>
      </c>
      <c r="AB371" s="110">
        <v>3</v>
      </c>
      <c r="AC371" s="110">
        <v>4</v>
      </c>
      <c r="AD371" s="696"/>
      <c r="AE371" s="696"/>
      <c r="AF371" s="696"/>
      <c r="AG371" s="696"/>
      <c r="AH371" s="696"/>
      <c r="AI371" s="697"/>
      <c r="AJ371" s="89" t="s">
        <v>74</v>
      </c>
      <c r="AK371" s="91" t="s">
        <v>75</v>
      </c>
      <c r="AL371" s="91" t="s">
        <v>76</v>
      </c>
      <c r="AM371" s="91" t="s">
        <v>77</v>
      </c>
      <c r="AN371" s="92" t="s">
        <v>78</v>
      </c>
      <c r="AO371" s="92" t="s">
        <v>79</v>
      </c>
      <c r="AP371" s="92" t="s">
        <v>80</v>
      </c>
      <c r="AQ371" s="92" t="s">
        <v>81</v>
      </c>
      <c r="AR371" s="93" t="s">
        <v>82</v>
      </c>
      <c r="AS371" s="93" t="s">
        <v>83</v>
      </c>
      <c r="AT371" s="560"/>
      <c r="AU371" s="111" t="s">
        <v>116</v>
      </c>
      <c r="AV371" s="111" t="s">
        <v>117</v>
      </c>
      <c r="AW371" s="111" t="s">
        <v>118</v>
      </c>
      <c r="AX371" s="111" t="s">
        <v>119</v>
      </c>
      <c r="AY371" s="111" t="s">
        <v>116</v>
      </c>
      <c r="AZ371" s="111" t="s">
        <v>117</v>
      </c>
      <c r="BA371" s="111" t="s">
        <v>118</v>
      </c>
      <c r="BB371" s="111" t="s">
        <v>119</v>
      </c>
      <c r="BC371" s="586"/>
      <c r="BD371" s="589"/>
      <c r="BE371" s="48"/>
      <c r="BF371" s="49"/>
    </row>
    <row r="372" spans="1:58" s="120" customFormat="1" ht="49.5" customHeight="1" x14ac:dyDescent="0.25">
      <c r="A372" s="675"/>
      <c r="B372" s="664"/>
      <c r="C372" s="665">
        <v>1</v>
      </c>
      <c r="D372" s="933" t="s">
        <v>32</v>
      </c>
      <c r="E372" s="912" t="s">
        <v>327</v>
      </c>
      <c r="F372" s="915">
        <v>1</v>
      </c>
      <c r="G372" s="736" t="s">
        <v>607</v>
      </c>
      <c r="H372" s="758">
        <v>0.5</v>
      </c>
      <c r="I372" s="722" t="s">
        <v>608</v>
      </c>
      <c r="J372" s="761">
        <v>0.35</v>
      </c>
      <c r="K372" s="722" t="s">
        <v>609</v>
      </c>
      <c r="L372" s="722" t="s">
        <v>610</v>
      </c>
      <c r="M372" s="722" t="str">
        <f>CONCATENATE(U372,$U$32,U373)</f>
        <v>No. de prepliegos publicados oportunamente  / No. total de estudios previos radicados con el lleno de los requisitos</v>
      </c>
      <c r="N372" s="722" t="s">
        <v>611</v>
      </c>
      <c r="O372" s="722" t="s">
        <v>612</v>
      </c>
      <c r="P372" s="925">
        <v>0.25</v>
      </c>
      <c r="Q372" s="761">
        <v>0.91</v>
      </c>
      <c r="R372" s="758">
        <v>1</v>
      </c>
      <c r="S372" s="761">
        <v>0.92</v>
      </c>
      <c r="T372" s="764" t="s">
        <v>151</v>
      </c>
      <c r="U372" s="164" t="s">
        <v>613</v>
      </c>
      <c r="V372" s="331"/>
      <c r="W372" s="331"/>
      <c r="X372" s="331"/>
      <c r="Y372" s="331"/>
      <c r="Z372" s="332"/>
      <c r="AA372" s="332"/>
      <c r="AB372" s="332"/>
      <c r="AC372" s="332"/>
      <c r="AD372" s="930">
        <f>+AE372+AF372+AG372</f>
        <v>0</v>
      </c>
      <c r="AE372" s="909">
        <v>0</v>
      </c>
      <c r="AF372" s="909">
        <v>0</v>
      </c>
      <c r="AG372" s="909">
        <v>0</v>
      </c>
      <c r="AH372" s="805" t="s">
        <v>614</v>
      </c>
      <c r="AI372" s="805" t="s">
        <v>614</v>
      </c>
      <c r="AJ372" s="805" t="s">
        <v>94</v>
      </c>
      <c r="AK372" s="805"/>
      <c r="AL372" s="805"/>
      <c r="AM372" s="805"/>
      <c r="AN372" s="333"/>
      <c r="AO372" s="805" t="s">
        <v>94</v>
      </c>
      <c r="AP372" s="333"/>
      <c r="AQ372" s="805" t="s">
        <v>94</v>
      </c>
      <c r="AR372" s="805"/>
      <c r="AS372" s="805"/>
      <c r="AT372" s="190" t="s">
        <v>129</v>
      </c>
      <c r="AU372" s="203">
        <f t="shared" ref="AU372:BB372" si="301">+V374*$J$372</f>
        <v>0</v>
      </c>
      <c r="AV372" s="203">
        <f t="shared" si="301"/>
        <v>0</v>
      </c>
      <c r="AW372" s="203">
        <f t="shared" si="301"/>
        <v>0</v>
      </c>
      <c r="AX372" s="203">
        <f t="shared" si="301"/>
        <v>0</v>
      </c>
      <c r="AY372" s="203">
        <f t="shared" si="301"/>
        <v>0</v>
      </c>
      <c r="AZ372" s="203">
        <f t="shared" si="301"/>
        <v>0</v>
      </c>
      <c r="BA372" s="203">
        <f t="shared" si="301"/>
        <v>0</v>
      </c>
      <c r="BB372" s="203">
        <f t="shared" si="301"/>
        <v>0</v>
      </c>
      <c r="BC372" s="611">
        <f>+BB374</f>
        <v>0</v>
      </c>
      <c r="BD372" s="608">
        <f>+BC372</f>
        <v>0</v>
      </c>
      <c r="BE372" s="117"/>
      <c r="BF372" s="118"/>
    </row>
    <row r="373" spans="1:58" s="120" customFormat="1" ht="50.1" customHeight="1" thickBot="1" x14ac:dyDescent="0.3">
      <c r="A373" s="675"/>
      <c r="B373" s="664"/>
      <c r="C373" s="665"/>
      <c r="D373" s="933"/>
      <c r="E373" s="913"/>
      <c r="F373" s="916"/>
      <c r="G373" s="737"/>
      <c r="H373" s="759"/>
      <c r="I373" s="723"/>
      <c r="J373" s="762"/>
      <c r="K373" s="723"/>
      <c r="L373" s="723"/>
      <c r="M373" s="723"/>
      <c r="N373" s="723"/>
      <c r="O373" s="723"/>
      <c r="P373" s="925"/>
      <c r="Q373" s="762"/>
      <c r="R373" s="759"/>
      <c r="S373" s="762"/>
      <c r="T373" s="765"/>
      <c r="U373" s="224" t="s">
        <v>615</v>
      </c>
      <c r="V373" s="334">
        <v>22</v>
      </c>
      <c r="W373" s="334">
        <v>38</v>
      </c>
      <c r="X373" s="334">
        <v>0.01</v>
      </c>
      <c r="Y373" s="334">
        <v>0.01</v>
      </c>
      <c r="Z373" s="334">
        <f>V373</f>
        <v>22</v>
      </c>
      <c r="AA373" s="334">
        <f>V373+W373</f>
        <v>60</v>
      </c>
      <c r="AB373" s="334">
        <f>V373+W373+X373</f>
        <v>60.01</v>
      </c>
      <c r="AC373" s="334">
        <f>V373+W373+X373+Y373</f>
        <v>60.019999999999996</v>
      </c>
      <c r="AD373" s="931"/>
      <c r="AE373" s="910"/>
      <c r="AF373" s="910"/>
      <c r="AG373" s="910"/>
      <c r="AH373" s="806"/>
      <c r="AI373" s="806"/>
      <c r="AJ373" s="806"/>
      <c r="AK373" s="806"/>
      <c r="AL373" s="806"/>
      <c r="AM373" s="806"/>
      <c r="AN373" s="335"/>
      <c r="AO373" s="806"/>
      <c r="AP373" s="335"/>
      <c r="AQ373" s="806"/>
      <c r="AR373" s="806"/>
      <c r="AS373" s="806"/>
      <c r="AT373" s="190" t="s">
        <v>131</v>
      </c>
      <c r="AU373" s="203">
        <f>+(AU372+AU375+AU378+AU381+AU384+AU387)*$H$372</f>
        <v>0</v>
      </c>
      <c r="AV373" s="203">
        <f t="shared" ref="AV373:BB373" si="302">+(AV372+AV375+AV378+AV381+AV384+AV387)*$H$372</f>
        <v>0</v>
      </c>
      <c r="AW373" s="203">
        <f t="shared" si="302"/>
        <v>0</v>
      </c>
      <c r="AX373" s="203">
        <f t="shared" si="302"/>
        <v>0</v>
      </c>
      <c r="AY373" s="203">
        <f t="shared" si="302"/>
        <v>0</v>
      </c>
      <c r="AZ373" s="203">
        <f t="shared" si="302"/>
        <v>0</v>
      </c>
      <c r="BA373" s="203">
        <f t="shared" si="302"/>
        <v>0</v>
      </c>
      <c r="BB373" s="203">
        <f t="shared" si="302"/>
        <v>0</v>
      </c>
      <c r="BC373" s="612"/>
      <c r="BD373" s="609"/>
      <c r="BE373" s="117"/>
      <c r="BF373" s="118"/>
    </row>
    <row r="374" spans="1:58" s="120" customFormat="1" ht="24.95" customHeight="1" thickBot="1" x14ac:dyDescent="0.3">
      <c r="A374" s="675"/>
      <c r="B374" s="664"/>
      <c r="C374" s="665"/>
      <c r="D374" s="933"/>
      <c r="E374" s="913"/>
      <c r="F374" s="916"/>
      <c r="G374" s="737"/>
      <c r="H374" s="759"/>
      <c r="I374" s="724"/>
      <c r="J374" s="763"/>
      <c r="K374" s="724"/>
      <c r="L374" s="724"/>
      <c r="M374" s="724"/>
      <c r="N374" s="724"/>
      <c r="O374" s="724"/>
      <c r="P374" s="925"/>
      <c r="Q374" s="763"/>
      <c r="R374" s="760"/>
      <c r="S374" s="763"/>
      <c r="T374" s="766"/>
      <c r="U374" s="172" t="s">
        <v>96</v>
      </c>
      <c r="V374" s="123">
        <f t="shared" ref="V374:AC374" si="303">IF((V372/V373)&lt;$I$8,(V372/V373),IF((V372/V373)&lt;$J$8,(V372/V373),IF((V372/V373)&lt;$J$9,(V372/V373),IF((V372/V373)&gt;=$J$9,$J$9))))</f>
        <v>0</v>
      </c>
      <c r="W374" s="123">
        <f t="shared" si="303"/>
        <v>0</v>
      </c>
      <c r="X374" s="123">
        <f t="shared" si="303"/>
        <v>0</v>
      </c>
      <c r="Y374" s="123">
        <f t="shared" si="303"/>
        <v>0</v>
      </c>
      <c r="Z374" s="123">
        <f t="shared" si="303"/>
        <v>0</v>
      </c>
      <c r="AA374" s="123">
        <f t="shared" si="303"/>
        <v>0</v>
      </c>
      <c r="AB374" s="123">
        <f t="shared" si="303"/>
        <v>0</v>
      </c>
      <c r="AC374" s="123">
        <f t="shared" si="303"/>
        <v>0</v>
      </c>
      <c r="AD374" s="931"/>
      <c r="AE374" s="911"/>
      <c r="AF374" s="911"/>
      <c r="AG374" s="911"/>
      <c r="AH374" s="807"/>
      <c r="AI374" s="807"/>
      <c r="AJ374" s="807"/>
      <c r="AK374" s="807"/>
      <c r="AL374" s="807"/>
      <c r="AM374" s="807"/>
      <c r="AN374" s="336"/>
      <c r="AO374" s="807"/>
      <c r="AP374" s="336"/>
      <c r="AQ374" s="807"/>
      <c r="AR374" s="807"/>
      <c r="AS374" s="807"/>
      <c r="AT374" s="190" t="s">
        <v>132</v>
      </c>
      <c r="AU374" s="203">
        <f>+(AU373+AU391+AU394)*$F$372</f>
        <v>0</v>
      </c>
      <c r="AV374" s="203">
        <f t="shared" ref="AV374:BB374" si="304">+(AV373+AV391+AV394)*$F$372</f>
        <v>0</v>
      </c>
      <c r="AW374" s="203">
        <f t="shared" si="304"/>
        <v>0</v>
      </c>
      <c r="AX374" s="203">
        <f t="shared" si="304"/>
        <v>0</v>
      </c>
      <c r="AY374" s="203">
        <f t="shared" si="304"/>
        <v>0</v>
      </c>
      <c r="AZ374" s="203">
        <f t="shared" si="304"/>
        <v>0</v>
      </c>
      <c r="BA374" s="203">
        <f t="shared" si="304"/>
        <v>0</v>
      </c>
      <c r="BB374" s="308">
        <f t="shared" si="304"/>
        <v>0</v>
      </c>
      <c r="BC374" s="612"/>
      <c r="BD374" s="609"/>
      <c r="BE374" s="117"/>
      <c r="BF374" s="118"/>
    </row>
    <row r="375" spans="1:58" s="120" customFormat="1" ht="35.1" customHeight="1" x14ac:dyDescent="0.25">
      <c r="A375" s="128"/>
      <c r="B375" s="664"/>
      <c r="C375" s="665">
        <v>2</v>
      </c>
      <c r="D375" s="933"/>
      <c r="E375" s="913"/>
      <c r="F375" s="916"/>
      <c r="G375" s="737"/>
      <c r="H375" s="759"/>
      <c r="I375" s="722" t="s">
        <v>616</v>
      </c>
      <c r="J375" s="761">
        <v>0.1</v>
      </c>
      <c r="K375" s="722" t="s">
        <v>617</v>
      </c>
      <c r="L375" s="722" t="s">
        <v>610</v>
      </c>
      <c r="M375" s="722" t="s">
        <v>618</v>
      </c>
      <c r="N375" s="722" t="s">
        <v>611</v>
      </c>
      <c r="O375" s="722" t="s">
        <v>612</v>
      </c>
      <c r="P375" s="927">
        <v>0.1</v>
      </c>
      <c r="Q375" s="761" t="s">
        <v>90</v>
      </c>
      <c r="R375" s="758">
        <v>0.4</v>
      </c>
      <c r="S375" s="761">
        <v>0.1</v>
      </c>
      <c r="T375" s="764" t="s">
        <v>151</v>
      </c>
      <c r="U375" s="164" t="s">
        <v>619</v>
      </c>
      <c r="V375" s="331"/>
      <c r="W375" s="331"/>
      <c r="X375" s="331"/>
      <c r="Y375" s="331"/>
      <c r="Z375" s="332"/>
      <c r="AA375" s="332"/>
      <c r="AB375" s="332"/>
      <c r="AC375" s="332"/>
      <c r="AD375" s="931"/>
      <c r="AE375" s="909">
        <v>0</v>
      </c>
      <c r="AF375" s="909">
        <v>0</v>
      </c>
      <c r="AG375" s="909">
        <v>0</v>
      </c>
      <c r="AH375" s="805" t="s">
        <v>614</v>
      </c>
      <c r="AI375" s="805" t="s">
        <v>614</v>
      </c>
      <c r="AJ375" s="805" t="s">
        <v>94</v>
      </c>
      <c r="AK375" s="335"/>
      <c r="AL375" s="335"/>
      <c r="AM375" s="335"/>
      <c r="AN375" s="335"/>
      <c r="AO375" s="805" t="s">
        <v>94</v>
      </c>
      <c r="AP375" s="335"/>
      <c r="AQ375" s="335"/>
      <c r="AR375" s="805" t="s">
        <v>94</v>
      </c>
      <c r="AS375" s="335"/>
      <c r="AT375" s="190" t="s">
        <v>129</v>
      </c>
      <c r="AU375" s="203">
        <f t="shared" ref="AU375:BB375" si="305">+V377*$J$375</f>
        <v>0</v>
      </c>
      <c r="AV375" s="203">
        <f t="shared" si="305"/>
        <v>0</v>
      </c>
      <c r="AW375" s="203">
        <f t="shared" si="305"/>
        <v>0</v>
      </c>
      <c r="AX375" s="203">
        <f t="shared" si="305"/>
        <v>0</v>
      </c>
      <c r="AY375" s="203">
        <f t="shared" si="305"/>
        <v>0</v>
      </c>
      <c r="AZ375" s="203">
        <f t="shared" si="305"/>
        <v>0</v>
      </c>
      <c r="BA375" s="203">
        <f t="shared" si="305"/>
        <v>0</v>
      </c>
      <c r="BB375" s="203">
        <f t="shared" si="305"/>
        <v>0</v>
      </c>
      <c r="BC375" s="612"/>
      <c r="BD375" s="609"/>
      <c r="BE375" s="117"/>
      <c r="BF375" s="118"/>
    </row>
    <row r="376" spans="1:58" s="120" customFormat="1" ht="35.1" customHeight="1" x14ac:dyDescent="0.25">
      <c r="A376" s="128"/>
      <c r="B376" s="664"/>
      <c r="C376" s="665"/>
      <c r="D376" s="933"/>
      <c r="E376" s="913"/>
      <c r="F376" s="916"/>
      <c r="G376" s="737"/>
      <c r="H376" s="759"/>
      <c r="I376" s="723"/>
      <c r="J376" s="762"/>
      <c r="K376" s="723"/>
      <c r="L376" s="723"/>
      <c r="M376" s="723"/>
      <c r="N376" s="723"/>
      <c r="O376" s="723"/>
      <c r="P376" s="928"/>
      <c r="Q376" s="762"/>
      <c r="R376" s="759"/>
      <c r="S376" s="762"/>
      <c r="T376" s="765"/>
      <c r="U376" s="224" t="s">
        <v>620</v>
      </c>
      <c r="V376" s="334">
        <v>2</v>
      </c>
      <c r="W376" s="334">
        <v>4</v>
      </c>
      <c r="X376" s="334">
        <v>0.01</v>
      </c>
      <c r="Y376" s="334">
        <v>0.01</v>
      </c>
      <c r="Z376" s="334">
        <f>V376</f>
        <v>2</v>
      </c>
      <c r="AA376" s="334">
        <f>V376+W376</f>
        <v>6</v>
      </c>
      <c r="AB376" s="334">
        <f>V376+W376+X376</f>
        <v>6.01</v>
      </c>
      <c r="AC376" s="334">
        <f>V376+W376+X376+Y376</f>
        <v>6.02</v>
      </c>
      <c r="AD376" s="931"/>
      <c r="AE376" s="910"/>
      <c r="AF376" s="910"/>
      <c r="AG376" s="910"/>
      <c r="AH376" s="806"/>
      <c r="AI376" s="806"/>
      <c r="AJ376" s="806"/>
      <c r="AK376" s="335"/>
      <c r="AL376" s="335"/>
      <c r="AM376" s="335"/>
      <c r="AN376" s="335"/>
      <c r="AO376" s="806"/>
      <c r="AP376" s="335"/>
      <c r="AQ376" s="335"/>
      <c r="AR376" s="806"/>
      <c r="AS376" s="335"/>
      <c r="AT376" s="190" t="s">
        <v>131</v>
      </c>
      <c r="AU376" s="575"/>
      <c r="AV376" s="576"/>
      <c r="AW376" s="576"/>
      <c r="AX376" s="576"/>
      <c r="AY376" s="576"/>
      <c r="AZ376" s="576"/>
      <c r="BA376" s="576"/>
      <c r="BB376" s="577"/>
      <c r="BC376" s="612"/>
      <c r="BD376" s="609"/>
      <c r="BE376" s="117"/>
      <c r="BF376" s="118"/>
    </row>
    <row r="377" spans="1:58" s="120" customFormat="1" ht="24.95" customHeight="1" x14ac:dyDescent="0.25">
      <c r="A377" s="128"/>
      <c r="B377" s="664"/>
      <c r="C377" s="665"/>
      <c r="D377" s="933"/>
      <c r="E377" s="913"/>
      <c r="F377" s="916"/>
      <c r="G377" s="737"/>
      <c r="H377" s="759"/>
      <c r="I377" s="724"/>
      <c r="J377" s="763"/>
      <c r="K377" s="724"/>
      <c r="L377" s="724"/>
      <c r="M377" s="724"/>
      <c r="N377" s="724"/>
      <c r="O377" s="724"/>
      <c r="P377" s="929"/>
      <c r="Q377" s="763"/>
      <c r="R377" s="760"/>
      <c r="S377" s="763"/>
      <c r="T377" s="766"/>
      <c r="U377" s="172" t="s">
        <v>96</v>
      </c>
      <c r="V377" s="123">
        <f t="shared" ref="V377:AC377" si="306">IF((V375/V376)&lt;$I$8,(V375/V376),IF((V375/V376)&lt;$J$8,(V375/V376),IF((V375/V376)&lt;$J$9,(V375/V376),IF((V375/V376)&gt;=$J$9,$J$9))))</f>
        <v>0</v>
      </c>
      <c r="W377" s="123">
        <f t="shared" si="306"/>
        <v>0</v>
      </c>
      <c r="X377" s="123">
        <f t="shared" si="306"/>
        <v>0</v>
      </c>
      <c r="Y377" s="123">
        <f t="shared" si="306"/>
        <v>0</v>
      </c>
      <c r="Z377" s="123">
        <f t="shared" si="306"/>
        <v>0</v>
      </c>
      <c r="AA377" s="123">
        <f t="shared" si="306"/>
        <v>0</v>
      </c>
      <c r="AB377" s="123">
        <f t="shared" si="306"/>
        <v>0</v>
      </c>
      <c r="AC377" s="123">
        <f t="shared" si="306"/>
        <v>0</v>
      </c>
      <c r="AD377" s="931"/>
      <c r="AE377" s="911"/>
      <c r="AF377" s="911"/>
      <c r="AG377" s="911"/>
      <c r="AH377" s="807"/>
      <c r="AI377" s="807"/>
      <c r="AJ377" s="807"/>
      <c r="AK377" s="335"/>
      <c r="AL377" s="335"/>
      <c r="AM377" s="335"/>
      <c r="AN377" s="335"/>
      <c r="AO377" s="807"/>
      <c r="AP377" s="335"/>
      <c r="AQ377" s="335"/>
      <c r="AR377" s="807"/>
      <c r="AS377" s="335"/>
      <c r="AT377" s="190" t="s">
        <v>132</v>
      </c>
      <c r="AU377" s="575"/>
      <c r="AV377" s="576"/>
      <c r="AW377" s="576"/>
      <c r="AX377" s="576"/>
      <c r="AY377" s="576"/>
      <c r="AZ377" s="576"/>
      <c r="BA377" s="576"/>
      <c r="BB377" s="577"/>
      <c r="BC377" s="612"/>
      <c r="BD377" s="609"/>
      <c r="BE377" s="117"/>
      <c r="BF377" s="118"/>
    </row>
    <row r="378" spans="1:58" s="120" customFormat="1" ht="54.95" customHeight="1" x14ac:dyDescent="0.25">
      <c r="A378" s="675"/>
      <c r="B378" s="664"/>
      <c r="C378" s="665">
        <v>3</v>
      </c>
      <c r="D378" s="933"/>
      <c r="E378" s="913"/>
      <c r="F378" s="916"/>
      <c r="G378" s="737"/>
      <c r="H378" s="759"/>
      <c r="I378" s="722" t="s">
        <v>621</v>
      </c>
      <c r="J378" s="761">
        <v>0.25</v>
      </c>
      <c r="K378" s="722" t="s">
        <v>622</v>
      </c>
      <c r="L378" s="722" t="s">
        <v>623</v>
      </c>
      <c r="M378" s="722" t="str">
        <f>CONCATENATE(U378,$U$32,U379)</f>
        <v>N° de actas de liquidación (bilateral) suscritas y publicadas oportunamente / N° de informes finales de supervisión, con proyecto de acta de liquidación radicados con el lleno de los requisitos</v>
      </c>
      <c r="N378" s="722" t="s">
        <v>624</v>
      </c>
      <c r="O378" s="722" t="s">
        <v>625</v>
      </c>
      <c r="P378" s="925">
        <v>0.1</v>
      </c>
      <c r="Q378" s="761" t="s">
        <v>90</v>
      </c>
      <c r="R378" s="761">
        <v>1</v>
      </c>
      <c r="S378" s="761">
        <v>1</v>
      </c>
      <c r="T378" s="764" t="s">
        <v>151</v>
      </c>
      <c r="U378" s="164" t="s">
        <v>626</v>
      </c>
      <c r="V378" s="331"/>
      <c r="W378" s="331"/>
      <c r="X378" s="331"/>
      <c r="Y378" s="331"/>
      <c r="Z378" s="332"/>
      <c r="AA378" s="332"/>
      <c r="AB378" s="332"/>
      <c r="AC378" s="332"/>
      <c r="AD378" s="931"/>
      <c r="AE378" s="909">
        <v>0</v>
      </c>
      <c r="AF378" s="909">
        <v>0</v>
      </c>
      <c r="AG378" s="909">
        <v>0</v>
      </c>
      <c r="AH378" s="716" t="s">
        <v>614</v>
      </c>
      <c r="AI378" s="805" t="s">
        <v>614</v>
      </c>
      <c r="AJ378" s="805" t="s">
        <v>94</v>
      </c>
      <c r="AK378" s="333"/>
      <c r="AL378" s="333"/>
      <c r="AM378" s="333"/>
      <c r="AN378" s="333"/>
      <c r="AO378" s="805" t="s">
        <v>94</v>
      </c>
      <c r="AP378" s="333"/>
      <c r="AQ378" s="805" t="s">
        <v>94</v>
      </c>
      <c r="AR378" s="805"/>
      <c r="AS378" s="333"/>
      <c r="AT378" s="190" t="s">
        <v>129</v>
      </c>
      <c r="AU378" s="203">
        <f t="shared" ref="AU378:BB378" si="307">+V380*$J$378</f>
        <v>0</v>
      </c>
      <c r="AV378" s="203">
        <f t="shared" si="307"/>
        <v>0</v>
      </c>
      <c r="AW378" s="203">
        <f t="shared" si="307"/>
        <v>0</v>
      </c>
      <c r="AX378" s="203">
        <f t="shared" si="307"/>
        <v>0</v>
      </c>
      <c r="AY378" s="203">
        <f t="shared" si="307"/>
        <v>0</v>
      </c>
      <c r="AZ378" s="203">
        <f t="shared" si="307"/>
        <v>0</v>
      </c>
      <c r="BA378" s="203">
        <f t="shared" si="307"/>
        <v>0</v>
      </c>
      <c r="BB378" s="203">
        <f t="shared" si="307"/>
        <v>0</v>
      </c>
      <c r="BC378" s="612"/>
      <c r="BD378" s="609"/>
      <c r="BE378" s="117"/>
      <c r="BF378" s="118"/>
    </row>
    <row r="379" spans="1:58" s="120" customFormat="1" ht="54.95" customHeight="1" x14ac:dyDescent="0.25">
      <c r="A379" s="675"/>
      <c r="B379" s="664"/>
      <c r="C379" s="665"/>
      <c r="D379" s="933"/>
      <c r="E379" s="913"/>
      <c r="F379" s="916"/>
      <c r="G379" s="737"/>
      <c r="H379" s="759"/>
      <c r="I379" s="723"/>
      <c r="J379" s="762"/>
      <c r="K379" s="723"/>
      <c r="L379" s="723"/>
      <c r="M379" s="723"/>
      <c r="N379" s="723"/>
      <c r="O379" s="723"/>
      <c r="P379" s="925"/>
      <c r="Q379" s="762"/>
      <c r="R379" s="762"/>
      <c r="S379" s="762"/>
      <c r="T379" s="765"/>
      <c r="U379" s="176" t="s">
        <v>627</v>
      </c>
      <c r="V379" s="334">
        <v>12</v>
      </c>
      <c r="W379" s="334">
        <v>15</v>
      </c>
      <c r="X379" s="334">
        <v>1</v>
      </c>
      <c r="Y379" s="334">
        <v>0.01</v>
      </c>
      <c r="Z379" s="334">
        <f>V379</f>
        <v>12</v>
      </c>
      <c r="AA379" s="334">
        <f>V379+W379</f>
        <v>27</v>
      </c>
      <c r="AB379" s="334">
        <f>V379+W379+X379</f>
        <v>28</v>
      </c>
      <c r="AC379" s="334">
        <f>V379+W379+X379+Y379</f>
        <v>28.01</v>
      </c>
      <c r="AD379" s="931"/>
      <c r="AE379" s="910"/>
      <c r="AF379" s="910"/>
      <c r="AG379" s="910"/>
      <c r="AH379" s="717"/>
      <c r="AI379" s="806"/>
      <c r="AJ379" s="806"/>
      <c r="AK379" s="335"/>
      <c r="AL379" s="335"/>
      <c r="AM379" s="335"/>
      <c r="AN379" s="335"/>
      <c r="AO379" s="806"/>
      <c r="AP379" s="335"/>
      <c r="AQ379" s="806"/>
      <c r="AR379" s="806"/>
      <c r="AS379" s="335"/>
      <c r="AT379" s="190" t="s">
        <v>131</v>
      </c>
      <c r="AU379" s="575"/>
      <c r="AV379" s="576"/>
      <c r="AW379" s="576"/>
      <c r="AX379" s="576"/>
      <c r="AY379" s="576"/>
      <c r="AZ379" s="576"/>
      <c r="BA379" s="576"/>
      <c r="BB379" s="577"/>
      <c r="BC379" s="612"/>
      <c r="BD379" s="609"/>
      <c r="BE379" s="117"/>
      <c r="BF379" s="118"/>
    </row>
    <row r="380" spans="1:58" s="120" customFormat="1" ht="24.95" customHeight="1" x14ac:dyDescent="0.25">
      <c r="A380" s="675"/>
      <c r="B380" s="664"/>
      <c r="C380" s="665"/>
      <c r="D380" s="933"/>
      <c r="E380" s="913"/>
      <c r="F380" s="916"/>
      <c r="G380" s="737"/>
      <c r="H380" s="759"/>
      <c r="I380" s="724"/>
      <c r="J380" s="763"/>
      <c r="K380" s="724"/>
      <c r="L380" s="724"/>
      <c r="M380" s="724"/>
      <c r="N380" s="724"/>
      <c r="O380" s="724"/>
      <c r="P380" s="925"/>
      <c r="Q380" s="763"/>
      <c r="R380" s="763"/>
      <c r="S380" s="763"/>
      <c r="T380" s="766"/>
      <c r="U380" s="172" t="s">
        <v>96</v>
      </c>
      <c r="V380" s="123">
        <f t="shared" ref="V380:AC380" si="308">IF((V378/V379)&lt;$I$8,(V378/V379),IF((V378/V379)&lt;$J$8,(V378/V379),IF((V378/V379)&lt;$J$9,(V378/V379),IF((V378/V379)&gt;=$J$9,$J$9))))</f>
        <v>0</v>
      </c>
      <c r="W380" s="123">
        <f t="shared" si="308"/>
        <v>0</v>
      </c>
      <c r="X380" s="123">
        <f t="shared" si="308"/>
        <v>0</v>
      </c>
      <c r="Y380" s="123">
        <f t="shared" si="308"/>
        <v>0</v>
      </c>
      <c r="Z380" s="123">
        <f t="shared" si="308"/>
        <v>0</v>
      </c>
      <c r="AA380" s="123">
        <f t="shared" si="308"/>
        <v>0</v>
      </c>
      <c r="AB380" s="123">
        <f t="shared" si="308"/>
        <v>0</v>
      </c>
      <c r="AC380" s="123">
        <f t="shared" si="308"/>
        <v>0</v>
      </c>
      <c r="AD380" s="931"/>
      <c r="AE380" s="911"/>
      <c r="AF380" s="911"/>
      <c r="AG380" s="911"/>
      <c r="AH380" s="718"/>
      <c r="AI380" s="807"/>
      <c r="AJ380" s="807"/>
      <c r="AK380" s="336"/>
      <c r="AL380" s="336"/>
      <c r="AM380" s="336"/>
      <c r="AN380" s="336"/>
      <c r="AO380" s="807"/>
      <c r="AP380" s="336"/>
      <c r="AQ380" s="807"/>
      <c r="AR380" s="807"/>
      <c r="AS380" s="336"/>
      <c r="AT380" s="190" t="s">
        <v>132</v>
      </c>
      <c r="AU380" s="575"/>
      <c r="AV380" s="576"/>
      <c r="AW380" s="576"/>
      <c r="AX380" s="576"/>
      <c r="AY380" s="576"/>
      <c r="AZ380" s="576"/>
      <c r="BA380" s="576"/>
      <c r="BB380" s="577"/>
      <c r="BC380" s="612"/>
      <c r="BD380" s="609"/>
      <c r="BE380" s="117"/>
      <c r="BF380" s="118"/>
    </row>
    <row r="381" spans="1:58" s="120" customFormat="1" ht="39.950000000000003" customHeight="1" x14ac:dyDescent="0.25">
      <c r="A381" s="675"/>
      <c r="B381" s="664"/>
      <c r="C381" s="673">
        <v>4</v>
      </c>
      <c r="D381" s="933"/>
      <c r="E381" s="913"/>
      <c r="F381" s="916"/>
      <c r="G381" s="737"/>
      <c r="H381" s="759"/>
      <c r="I381" s="722" t="s">
        <v>628</v>
      </c>
      <c r="J381" s="761">
        <v>0.05</v>
      </c>
      <c r="K381" s="722" t="s">
        <v>629</v>
      </c>
      <c r="L381" s="722" t="s">
        <v>630</v>
      </c>
      <c r="M381" s="722" t="str">
        <f>CONCATENATE(U381,$U$32,U382)</f>
        <v>Total de Charlas Realizadas / N° de Charlas Programadas</v>
      </c>
      <c r="N381" s="722" t="s">
        <v>631</v>
      </c>
      <c r="O381" s="722" t="s">
        <v>632</v>
      </c>
      <c r="P381" s="925">
        <f>+J381</f>
        <v>0.05</v>
      </c>
      <c r="Q381" s="761" t="s">
        <v>90</v>
      </c>
      <c r="R381" s="761">
        <v>1</v>
      </c>
      <c r="S381" s="761">
        <v>1</v>
      </c>
      <c r="T381" s="764" t="s">
        <v>151</v>
      </c>
      <c r="U381" s="164" t="s">
        <v>633</v>
      </c>
      <c r="V381" s="331"/>
      <c r="W381" s="331"/>
      <c r="X381" s="331"/>
      <c r="Y381" s="331"/>
      <c r="Z381" s="332"/>
      <c r="AA381" s="332"/>
      <c r="AB381" s="332"/>
      <c r="AC381" s="332"/>
      <c r="AD381" s="931"/>
      <c r="AE381" s="909">
        <v>0</v>
      </c>
      <c r="AF381" s="909">
        <v>0</v>
      </c>
      <c r="AG381" s="909">
        <v>0</v>
      </c>
      <c r="AH381" s="806" t="s">
        <v>614</v>
      </c>
      <c r="AI381" s="806" t="s">
        <v>614</v>
      </c>
      <c r="AJ381" s="806" t="s">
        <v>94</v>
      </c>
      <c r="AK381" s="335"/>
      <c r="AL381" s="335"/>
      <c r="AM381" s="335"/>
      <c r="AN381" s="335"/>
      <c r="AO381" s="805" t="s">
        <v>94</v>
      </c>
      <c r="AP381" s="335"/>
      <c r="AQ381" s="805" t="s">
        <v>94</v>
      </c>
      <c r="AR381" s="806"/>
      <c r="AS381" s="335"/>
      <c r="AT381" s="190" t="s">
        <v>129</v>
      </c>
      <c r="AU381" s="318">
        <f t="shared" ref="AU381:BB381" si="309">+V383*$J$381</f>
        <v>0</v>
      </c>
      <c r="AV381" s="203">
        <f t="shared" si="309"/>
        <v>0</v>
      </c>
      <c r="AW381" s="318">
        <f t="shared" si="309"/>
        <v>0</v>
      </c>
      <c r="AX381" s="203">
        <f t="shared" si="309"/>
        <v>0</v>
      </c>
      <c r="AY381" s="318">
        <f t="shared" si="309"/>
        <v>0</v>
      </c>
      <c r="AZ381" s="203">
        <f t="shared" si="309"/>
        <v>0</v>
      </c>
      <c r="BA381" s="318">
        <f t="shared" si="309"/>
        <v>0</v>
      </c>
      <c r="BB381" s="203">
        <f t="shared" si="309"/>
        <v>0</v>
      </c>
      <c r="BC381" s="612"/>
      <c r="BD381" s="609"/>
      <c r="BE381" s="117"/>
      <c r="BF381" s="118"/>
    </row>
    <row r="382" spans="1:58" s="120" customFormat="1" ht="39.950000000000003" customHeight="1" x14ac:dyDescent="0.25">
      <c r="A382" s="675"/>
      <c r="B382" s="664"/>
      <c r="C382" s="673"/>
      <c r="D382" s="933"/>
      <c r="E382" s="913"/>
      <c r="F382" s="916"/>
      <c r="G382" s="737"/>
      <c r="H382" s="759"/>
      <c r="I382" s="723"/>
      <c r="J382" s="762"/>
      <c r="K382" s="723"/>
      <c r="L382" s="723"/>
      <c r="M382" s="723"/>
      <c r="N382" s="723"/>
      <c r="O382" s="723"/>
      <c r="P382" s="925"/>
      <c r="Q382" s="762"/>
      <c r="R382" s="762"/>
      <c r="S382" s="762"/>
      <c r="T382" s="765"/>
      <c r="U382" s="176" t="s">
        <v>634</v>
      </c>
      <c r="V382" s="334">
        <v>0.01</v>
      </c>
      <c r="W382" s="334">
        <v>1</v>
      </c>
      <c r="X382" s="334">
        <v>0.01</v>
      </c>
      <c r="Y382" s="334">
        <v>1</v>
      </c>
      <c r="Z382" s="334">
        <f>+V382</f>
        <v>0.01</v>
      </c>
      <c r="AA382" s="334">
        <f>+W382</f>
        <v>1</v>
      </c>
      <c r="AB382" s="334">
        <v>1</v>
      </c>
      <c r="AC382" s="334">
        <f>+W382+Y382</f>
        <v>2</v>
      </c>
      <c r="AD382" s="931"/>
      <c r="AE382" s="910"/>
      <c r="AF382" s="910"/>
      <c r="AG382" s="910"/>
      <c r="AH382" s="806"/>
      <c r="AI382" s="806"/>
      <c r="AJ382" s="806"/>
      <c r="AK382" s="335"/>
      <c r="AL382" s="335"/>
      <c r="AM382" s="335"/>
      <c r="AN382" s="335"/>
      <c r="AO382" s="806"/>
      <c r="AP382" s="335"/>
      <c r="AQ382" s="806"/>
      <c r="AR382" s="806"/>
      <c r="AS382" s="335"/>
      <c r="AT382" s="190" t="s">
        <v>131</v>
      </c>
      <c r="AU382" s="575"/>
      <c r="AV382" s="576"/>
      <c r="AW382" s="576"/>
      <c r="AX382" s="576"/>
      <c r="AY382" s="576"/>
      <c r="AZ382" s="576"/>
      <c r="BA382" s="576"/>
      <c r="BB382" s="577"/>
      <c r="BC382" s="612"/>
      <c r="BD382" s="609"/>
      <c r="BE382" s="117"/>
      <c r="BF382" s="118"/>
    </row>
    <row r="383" spans="1:58" s="120" customFormat="1" ht="24.95" customHeight="1" x14ac:dyDescent="0.25">
      <c r="A383" s="675"/>
      <c r="B383" s="664"/>
      <c r="C383" s="673"/>
      <c r="D383" s="933"/>
      <c r="E383" s="913"/>
      <c r="F383" s="916"/>
      <c r="G383" s="737"/>
      <c r="H383" s="759"/>
      <c r="I383" s="724"/>
      <c r="J383" s="763"/>
      <c r="K383" s="724"/>
      <c r="L383" s="724"/>
      <c r="M383" s="724"/>
      <c r="N383" s="724"/>
      <c r="O383" s="724"/>
      <c r="P383" s="925"/>
      <c r="Q383" s="763"/>
      <c r="R383" s="763"/>
      <c r="S383" s="763"/>
      <c r="T383" s="766"/>
      <c r="U383" s="172" t="s">
        <v>96</v>
      </c>
      <c r="V383" s="318">
        <f t="shared" ref="V383:AC383" si="310">IF((V381/V382)&lt;$I$8,(V381/V382),IF((V381/V382)&lt;$J$8,(V381/V382),IF((V381/V382)&lt;$J$9,(V381/V382),IF((V381/V382)&gt;=$J$9,$J$9))))</f>
        <v>0</v>
      </c>
      <c r="W383" s="123">
        <f t="shared" si="310"/>
        <v>0</v>
      </c>
      <c r="X383" s="318">
        <f t="shared" si="310"/>
        <v>0</v>
      </c>
      <c r="Y383" s="123">
        <f t="shared" si="310"/>
        <v>0</v>
      </c>
      <c r="Z383" s="318">
        <f t="shared" si="310"/>
        <v>0</v>
      </c>
      <c r="AA383" s="123">
        <f t="shared" si="310"/>
        <v>0</v>
      </c>
      <c r="AB383" s="318">
        <f t="shared" si="310"/>
        <v>0</v>
      </c>
      <c r="AC383" s="123">
        <f t="shared" si="310"/>
        <v>0</v>
      </c>
      <c r="AD383" s="931"/>
      <c r="AE383" s="911"/>
      <c r="AF383" s="911"/>
      <c r="AG383" s="911"/>
      <c r="AH383" s="807"/>
      <c r="AI383" s="807"/>
      <c r="AJ383" s="807"/>
      <c r="AK383" s="335"/>
      <c r="AL383" s="335"/>
      <c r="AM383" s="335"/>
      <c r="AN383" s="335"/>
      <c r="AO383" s="807"/>
      <c r="AP383" s="335"/>
      <c r="AQ383" s="807"/>
      <c r="AR383" s="807"/>
      <c r="AS383" s="335"/>
      <c r="AT383" s="190" t="s">
        <v>132</v>
      </c>
      <c r="AU383" s="575"/>
      <c r="AV383" s="576"/>
      <c r="AW383" s="576"/>
      <c r="AX383" s="576"/>
      <c r="AY383" s="576"/>
      <c r="AZ383" s="576"/>
      <c r="BA383" s="576"/>
      <c r="BB383" s="577"/>
      <c r="BC383" s="612"/>
      <c r="BD383" s="609"/>
      <c r="BE383" s="117"/>
      <c r="BF383" s="118"/>
    </row>
    <row r="384" spans="1:58" s="120" customFormat="1" ht="39.950000000000003" customHeight="1" x14ac:dyDescent="0.25">
      <c r="A384" s="664"/>
      <c r="B384" s="664"/>
      <c r="C384" s="665">
        <v>5</v>
      </c>
      <c r="D384" s="933"/>
      <c r="E384" s="913"/>
      <c r="F384" s="916"/>
      <c r="G384" s="737"/>
      <c r="H384" s="759"/>
      <c r="I384" s="722" t="s">
        <v>635</v>
      </c>
      <c r="J384" s="761">
        <v>0.2</v>
      </c>
      <c r="K384" s="722" t="s">
        <v>636</v>
      </c>
      <c r="L384" s="722" t="s">
        <v>637</v>
      </c>
      <c r="M384" s="722" t="str">
        <f>CONCATENATE(U384,$U$32,U385)</f>
        <v>Total solicitudes internas y externas atendidas en menor tiempo / Total de solicitudes internas y externas recibidas</v>
      </c>
      <c r="N384" s="722" t="s">
        <v>638</v>
      </c>
      <c r="O384" s="722" t="s">
        <v>89</v>
      </c>
      <c r="P384" s="925">
        <f>+J384</f>
        <v>0.2</v>
      </c>
      <c r="Q384" s="761">
        <v>0.91</v>
      </c>
      <c r="R384" s="761">
        <v>1</v>
      </c>
      <c r="S384" s="761">
        <v>0.2</v>
      </c>
      <c r="T384" s="764" t="s">
        <v>151</v>
      </c>
      <c r="U384" s="164" t="s">
        <v>639</v>
      </c>
      <c r="V384" s="331"/>
      <c r="W384" s="331"/>
      <c r="X384" s="331"/>
      <c r="Y384" s="331"/>
      <c r="Z384" s="332"/>
      <c r="AA384" s="332"/>
      <c r="AB384" s="332"/>
      <c r="AC384" s="332"/>
      <c r="AD384" s="931"/>
      <c r="AE384" s="909">
        <v>0</v>
      </c>
      <c r="AF384" s="909">
        <v>0</v>
      </c>
      <c r="AG384" s="909">
        <v>0</v>
      </c>
      <c r="AH384" s="805" t="s">
        <v>614</v>
      </c>
      <c r="AI384" s="805" t="s">
        <v>614</v>
      </c>
      <c r="AJ384" s="805" t="s">
        <v>94</v>
      </c>
      <c r="AK384" s="805"/>
      <c r="AL384" s="805"/>
      <c r="AM384" s="805"/>
      <c r="AN384" s="333"/>
      <c r="AO384" s="805"/>
      <c r="AP384" s="805" t="s">
        <v>94</v>
      </c>
      <c r="AQ384" s="805"/>
      <c r="AR384" s="805" t="s">
        <v>94</v>
      </c>
      <c r="AS384" s="805"/>
      <c r="AT384" s="190" t="s">
        <v>129</v>
      </c>
      <c r="AU384" s="203">
        <f t="shared" ref="AU384:BB384" si="311">+V386*$J$384</f>
        <v>0</v>
      </c>
      <c r="AV384" s="203">
        <f t="shared" si="311"/>
        <v>0</v>
      </c>
      <c r="AW384" s="203">
        <f t="shared" si="311"/>
        <v>0</v>
      </c>
      <c r="AX384" s="203">
        <f t="shared" si="311"/>
        <v>0</v>
      </c>
      <c r="AY384" s="203">
        <f t="shared" si="311"/>
        <v>0</v>
      </c>
      <c r="AZ384" s="203">
        <f t="shared" si="311"/>
        <v>0</v>
      </c>
      <c r="BA384" s="203">
        <f t="shared" si="311"/>
        <v>0</v>
      </c>
      <c r="BB384" s="203">
        <f t="shared" si="311"/>
        <v>0</v>
      </c>
      <c r="BC384" s="612"/>
      <c r="BD384" s="609"/>
      <c r="BE384" s="117"/>
      <c r="BF384" s="118"/>
    </row>
    <row r="385" spans="1:60" s="120" customFormat="1" ht="39.950000000000003" customHeight="1" x14ac:dyDescent="0.25">
      <c r="A385" s="664"/>
      <c r="B385" s="664"/>
      <c r="C385" s="665"/>
      <c r="D385" s="933"/>
      <c r="E385" s="913"/>
      <c r="F385" s="916"/>
      <c r="G385" s="737"/>
      <c r="H385" s="759"/>
      <c r="I385" s="723"/>
      <c r="J385" s="762"/>
      <c r="K385" s="723"/>
      <c r="L385" s="723"/>
      <c r="M385" s="723"/>
      <c r="N385" s="723"/>
      <c r="O385" s="723"/>
      <c r="P385" s="925"/>
      <c r="Q385" s="762"/>
      <c r="R385" s="762"/>
      <c r="S385" s="762"/>
      <c r="T385" s="765"/>
      <c r="U385" s="176" t="s">
        <v>640</v>
      </c>
      <c r="V385" s="334">
        <v>65</v>
      </c>
      <c r="W385" s="334">
        <v>53</v>
      </c>
      <c r="X385" s="334">
        <v>0.01</v>
      </c>
      <c r="Y385" s="334">
        <v>0.01</v>
      </c>
      <c r="Z385" s="334">
        <f>V385</f>
        <v>65</v>
      </c>
      <c r="AA385" s="334">
        <f>V385+W385</f>
        <v>118</v>
      </c>
      <c r="AB385" s="334">
        <f>V385+W385+X385</f>
        <v>118.01</v>
      </c>
      <c r="AC385" s="334">
        <f>V385+W385+X385+Y385</f>
        <v>118.02000000000001</v>
      </c>
      <c r="AD385" s="931"/>
      <c r="AE385" s="910"/>
      <c r="AF385" s="910"/>
      <c r="AG385" s="910"/>
      <c r="AH385" s="806"/>
      <c r="AI385" s="806"/>
      <c r="AJ385" s="806"/>
      <c r="AK385" s="806"/>
      <c r="AL385" s="806"/>
      <c r="AM385" s="806"/>
      <c r="AN385" s="335"/>
      <c r="AO385" s="806"/>
      <c r="AP385" s="806"/>
      <c r="AQ385" s="806"/>
      <c r="AR385" s="806"/>
      <c r="AS385" s="806"/>
      <c r="AT385" s="190" t="s">
        <v>131</v>
      </c>
      <c r="AU385" s="575"/>
      <c r="AV385" s="576"/>
      <c r="AW385" s="576"/>
      <c r="AX385" s="576"/>
      <c r="AY385" s="576"/>
      <c r="AZ385" s="576"/>
      <c r="BA385" s="576"/>
      <c r="BB385" s="577"/>
      <c r="BC385" s="612"/>
      <c r="BD385" s="609"/>
      <c r="BE385" s="117"/>
      <c r="BF385" s="118"/>
    </row>
    <row r="386" spans="1:60" s="120" customFormat="1" ht="24.95" customHeight="1" x14ac:dyDescent="0.25">
      <c r="A386" s="664"/>
      <c r="B386" s="664"/>
      <c r="C386" s="665"/>
      <c r="D386" s="933"/>
      <c r="E386" s="913"/>
      <c r="F386" s="916"/>
      <c r="G386" s="737"/>
      <c r="H386" s="759"/>
      <c r="I386" s="724"/>
      <c r="J386" s="763"/>
      <c r="K386" s="724"/>
      <c r="L386" s="724"/>
      <c r="M386" s="724"/>
      <c r="N386" s="724"/>
      <c r="O386" s="724"/>
      <c r="P386" s="925"/>
      <c r="Q386" s="763"/>
      <c r="R386" s="763"/>
      <c r="S386" s="763"/>
      <c r="T386" s="766"/>
      <c r="U386" s="172" t="s">
        <v>96</v>
      </c>
      <c r="V386" s="123">
        <f t="shared" ref="V386:AC386" si="312">IF((V384/V385)&lt;$I$8,(V384/V385),IF((V384/V385)&lt;$J$8,(V384/V385),IF((V384/V385)&lt;$J$9,(V384/V385),IF((V384/V385)&gt;=$J$9,$J$9))))</f>
        <v>0</v>
      </c>
      <c r="W386" s="123">
        <f t="shared" si="312"/>
        <v>0</v>
      </c>
      <c r="X386" s="123">
        <f t="shared" si="312"/>
        <v>0</v>
      </c>
      <c r="Y386" s="123">
        <f t="shared" si="312"/>
        <v>0</v>
      </c>
      <c r="Z386" s="123">
        <f t="shared" si="312"/>
        <v>0</v>
      </c>
      <c r="AA386" s="123">
        <f t="shared" si="312"/>
        <v>0</v>
      </c>
      <c r="AB386" s="123">
        <f t="shared" si="312"/>
        <v>0</v>
      </c>
      <c r="AC386" s="123">
        <f t="shared" si="312"/>
        <v>0</v>
      </c>
      <c r="AD386" s="931"/>
      <c r="AE386" s="911"/>
      <c r="AF386" s="911"/>
      <c r="AG386" s="911"/>
      <c r="AH386" s="807"/>
      <c r="AI386" s="807"/>
      <c r="AJ386" s="807"/>
      <c r="AK386" s="807"/>
      <c r="AL386" s="807"/>
      <c r="AM386" s="807"/>
      <c r="AN386" s="336"/>
      <c r="AO386" s="807"/>
      <c r="AP386" s="807"/>
      <c r="AQ386" s="807"/>
      <c r="AR386" s="807"/>
      <c r="AS386" s="807"/>
      <c r="AT386" s="190" t="s">
        <v>132</v>
      </c>
      <c r="AU386" s="575"/>
      <c r="AV386" s="576"/>
      <c r="AW386" s="576"/>
      <c r="AX386" s="576"/>
      <c r="AY386" s="576"/>
      <c r="AZ386" s="576"/>
      <c r="BA386" s="576"/>
      <c r="BB386" s="577"/>
      <c r="BC386" s="612"/>
      <c r="BD386" s="609"/>
      <c r="BE386" s="117"/>
      <c r="BF386" s="118"/>
    </row>
    <row r="387" spans="1:60" s="120" customFormat="1" ht="39.950000000000003" customHeight="1" x14ac:dyDescent="0.25">
      <c r="A387" s="836" t="s">
        <v>230</v>
      </c>
      <c r="B387" s="664"/>
      <c r="C387" s="665">
        <v>6</v>
      </c>
      <c r="D387" s="933"/>
      <c r="E387" s="913"/>
      <c r="F387" s="916"/>
      <c r="G387" s="737"/>
      <c r="H387" s="759"/>
      <c r="I387" s="722" t="s">
        <v>641</v>
      </c>
      <c r="J387" s="761">
        <v>0.05</v>
      </c>
      <c r="K387" s="722" t="s">
        <v>642</v>
      </c>
      <c r="L387" s="722" t="s">
        <v>643</v>
      </c>
      <c r="M387" s="722" t="str">
        <f>CONCATENATE(U387,$T$32,U388)</f>
        <v>No. de Contratos suscritosNo. de solicitudes de contratación directa radicadas con el lleno de requisitos</v>
      </c>
      <c r="N387" s="722" t="s">
        <v>611</v>
      </c>
      <c r="O387" s="722" t="s">
        <v>612</v>
      </c>
      <c r="P387" s="925">
        <v>0.2</v>
      </c>
      <c r="Q387" s="761">
        <v>0.94</v>
      </c>
      <c r="R387" s="761">
        <v>1</v>
      </c>
      <c r="S387" s="761">
        <v>0.98</v>
      </c>
      <c r="T387" s="764" t="s">
        <v>91</v>
      </c>
      <c r="U387" s="164" t="s">
        <v>644</v>
      </c>
      <c r="V387" s="331"/>
      <c r="W387" s="331"/>
      <c r="X387" s="331"/>
      <c r="Y387" s="331"/>
      <c r="Z387" s="332"/>
      <c r="AA387" s="332"/>
      <c r="AB387" s="332"/>
      <c r="AC387" s="332"/>
      <c r="AD387" s="931"/>
      <c r="AE387" s="909">
        <v>0</v>
      </c>
      <c r="AF387" s="909">
        <v>0</v>
      </c>
      <c r="AG387" s="909">
        <v>0</v>
      </c>
      <c r="AH387" s="805" t="s">
        <v>614</v>
      </c>
      <c r="AI387" s="805" t="s">
        <v>614</v>
      </c>
      <c r="AJ387" s="805" t="s">
        <v>94</v>
      </c>
      <c r="AK387" s="805"/>
      <c r="AL387" s="805" t="s">
        <v>94</v>
      </c>
      <c r="AM387" s="805"/>
      <c r="AN387" s="333"/>
      <c r="AO387" s="805" t="s">
        <v>94</v>
      </c>
      <c r="AP387" s="333"/>
      <c r="AQ387" s="805" t="s">
        <v>94</v>
      </c>
      <c r="AR387" s="805"/>
      <c r="AS387" s="805"/>
      <c r="AT387" s="190" t="s">
        <v>129</v>
      </c>
      <c r="AU387" s="203">
        <f t="shared" ref="AU387:BB387" si="313">+V389*$J$387</f>
        <v>0</v>
      </c>
      <c r="AV387" s="203">
        <f t="shared" si="313"/>
        <v>0</v>
      </c>
      <c r="AW387" s="203">
        <f t="shared" si="313"/>
        <v>0</v>
      </c>
      <c r="AX387" s="203">
        <f t="shared" si="313"/>
        <v>0</v>
      </c>
      <c r="AY387" s="203">
        <f t="shared" si="313"/>
        <v>0</v>
      </c>
      <c r="AZ387" s="203">
        <f t="shared" si="313"/>
        <v>0</v>
      </c>
      <c r="BA387" s="203">
        <f t="shared" si="313"/>
        <v>0</v>
      </c>
      <c r="BB387" s="203">
        <f t="shared" si="313"/>
        <v>0</v>
      </c>
      <c r="BC387" s="612"/>
      <c r="BD387" s="609"/>
      <c r="BE387" s="117"/>
      <c r="BF387" s="118"/>
    </row>
    <row r="388" spans="1:60" s="120" customFormat="1" ht="39.950000000000003" customHeight="1" x14ac:dyDescent="0.25">
      <c r="A388" s="836"/>
      <c r="B388" s="664"/>
      <c r="C388" s="665"/>
      <c r="D388" s="933"/>
      <c r="E388" s="913"/>
      <c r="F388" s="916"/>
      <c r="G388" s="737"/>
      <c r="H388" s="759"/>
      <c r="I388" s="723"/>
      <c r="J388" s="762"/>
      <c r="K388" s="723"/>
      <c r="L388" s="723"/>
      <c r="M388" s="723"/>
      <c r="N388" s="723"/>
      <c r="O388" s="723"/>
      <c r="P388" s="925"/>
      <c r="Q388" s="762"/>
      <c r="R388" s="762"/>
      <c r="S388" s="762"/>
      <c r="T388" s="765"/>
      <c r="U388" s="176" t="s">
        <v>645</v>
      </c>
      <c r="V388" s="334">
        <v>545</v>
      </c>
      <c r="W388" s="337">
        <v>1</v>
      </c>
      <c r="X388" s="337">
        <v>0.01</v>
      </c>
      <c r="Y388" s="337">
        <v>0.01</v>
      </c>
      <c r="Z388" s="334">
        <f>+V388</f>
        <v>545</v>
      </c>
      <c r="AA388" s="337">
        <f>+V388+W388</f>
        <v>546</v>
      </c>
      <c r="AB388" s="337">
        <f>+V388+W388+X388</f>
        <v>546.01</v>
      </c>
      <c r="AC388" s="337">
        <f>+V388+W388+X388+Y388</f>
        <v>546.02</v>
      </c>
      <c r="AD388" s="931"/>
      <c r="AE388" s="910"/>
      <c r="AF388" s="910"/>
      <c r="AG388" s="910"/>
      <c r="AH388" s="806"/>
      <c r="AI388" s="806"/>
      <c r="AJ388" s="806"/>
      <c r="AK388" s="806"/>
      <c r="AL388" s="806"/>
      <c r="AM388" s="806"/>
      <c r="AN388" s="335"/>
      <c r="AO388" s="806"/>
      <c r="AP388" s="335"/>
      <c r="AQ388" s="806"/>
      <c r="AR388" s="806"/>
      <c r="AS388" s="806"/>
      <c r="AT388" s="190" t="s">
        <v>131</v>
      </c>
      <c r="AU388" s="575"/>
      <c r="AV388" s="576"/>
      <c r="AW388" s="576"/>
      <c r="AX388" s="576"/>
      <c r="AY388" s="576"/>
      <c r="AZ388" s="576"/>
      <c r="BA388" s="576"/>
      <c r="BB388" s="577"/>
      <c r="BC388" s="612"/>
      <c r="BD388" s="609"/>
      <c r="BE388" s="117"/>
      <c r="BF388" s="118"/>
    </row>
    <row r="389" spans="1:60" s="120" customFormat="1" ht="24.95" customHeight="1" x14ac:dyDescent="0.25">
      <c r="A389" s="836"/>
      <c r="B389" s="664"/>
      <c r="C389" s="665"/>
      <c r="D389" s="933"/>
      <c r="E389" s="913"/>
      <c r="F389" s="916"/>
      <c r="G389" s="738"/>
      <c r="H389" s="760"/>
      <c r="I389" s="724"/>
      <c r="J389" s="763"/>
      <c r="K389" s="724"/>
      <c r="L389" s="724"/>
      <c r="M389" s="724"/>
      <c r="N389" s="724"/>
      <c r="O389" s="724"/>
      <c r="P389" s="925"/>
      <c r="Q389" s="763"/>
      <c r="R389" s="763"/>
      <c r="S389" s="763"/>
      <c r="T389" s="766"/>
      <c r="U389" s="172" t="s">
        <v>646</v>
      </c>
      <c r="V389" s="123">
        <f t="shared" ref="V389:AC389" si="314">IF((V387/V388)&lt;$I$8,(V387/V388),IF((V387/V388)&lt;$J$8,(V387/V388),IF((V387/V388)&lt;$J$9,(V387/V388),IF((V387/V388)&gt;=$J$9,$J$9))))</f>
        <v>0</v>
      </c>
      <c r="W389" s="123">
        <f t="shared" si="314"/>
        <v>0</v>
      </c>
      <c r="X389" s="123">
        <f t="shared" si="314"/>
        <v>0</v>
      </c>
      <c r="Y389" s="123">
        <f t="shared" si="314"/>
        <v>0</v>
      </c>
      <c r="Z389" s="123">
        <f t="shared" si="314"/>
        <v>0</v>
      </c>
      <c r="AA389" s="123">
        <f t="shared" si="314"/>
        <v>0</v>
      </c>
      <c r="AB389" s="123">
        <f t="shared" si="314"/>
        <v>0</v>
      </c>
      <c r="AC389" s="123">
        <f t="shared" si="314"/>
        <v>0</v>
      </c>
      <c r="AD389" s="932"/>
      <c r="AE389" s="911"/>
      <c r="AF389" s="911"/>
      <c r="AG389" s="911"/>
      <c r="AH389" s="807"/>
      <c r="AI389" s="807"/>
      <c r="AJ389" s="807"/>
      <c r="AK389" s="807"/>
      <c r="AL389" s="807"/>
      <c r="AM389" s="807"/>
      <c r="AN389" s="336"/>
      <c r="AO389" s="807"/>
      <c r="AP389" s="336"/>
      <c r="AQ389" s="807"/>
      <c r="AR389" s="807"/>
      <c r="AS389" s="807"/>
      <c r="AT389" s="190" t="s">
        <v>132</v>
      </c>
      <c r="AU389" s="575"/>
      <c r="AV389" s="576"/>
      <c r="AW389" s="576"/>
      <c r="AX389" s="576"/>
      <c r="AY389" s="576"/>
      <c r="AZ389" s="576"/>
      <c r="BA389" s="576"/>
      <c r="BB389" s="577"/>
      <c r="BC389" s="612"/>
      <c r="BD389" s="609"/>
      <c r="BE389" s="117"/>
      <c r="BF389" s="118"/>
    </row>
    <row r="390" spans="1:60" s="120" customFormat="1" ht="39.950000000000003" customHeight="1" x14ac:dyDescent="0.25">
      <c r="A390" s="675"/>
      <c r="B390" s="664"/>
      <c r="C390" s="673">
        <v>7</v>
      </c>
      <c r="D390" s="933"/>
      <c r="E390" s="913"/>
      <c r="F390" s="916"/>
      <c r="G390" s="926" t="s">
        <v>337</v>
      </c>
      <c r="H390" s="915">
        <v>0.45</v>
      </c>
      <c r="I390" s="733" t="s">
        <v>338</v>
      </c>
      <c r="J390" s="761">
        <v>1</v>
      </c>
      <c r="K390" s="722" t="s">
        <v>647</v>
      </c>
      <c r="L390" s="722" t="s">
        <v>648</v>
      </c>
      <c r="M390" s="722" t="s">
        <v>649</v>
      </c>
      <c r="N390" s="722" t="s">
        <v>650</v>
      </c>
      <c r="O390" s="722" t="s">
        <v>651</v>
      </c>
      <c r="P390" s="925">
        <v>0.05</v>
      </c>
      <c r="Q390" s="722" t="s">
        <v>370</v>
      </c>
      <c r="R390" s="915">
        <v>1</v>
      </c>
      <c r="S390" s="915">
        <v>1</v>
      </c>
      <c r="T390" s="764" t="s">
        <v>91</v>
      </c>
      <c r="U390" s="164" t="s">
        <v>652</v>
      </c>
      <c r="V390" s="331"/>
      <c r="W390" s="331"/>
      <c r="X390" s="331"/>
      <c r="Y390" s="331"/>
      <c r="Z390" s="332"/>
      <c r="AA390" s="332"/>
      <c r="AB390" s="332"/>
      <c r="AC390" s="332"/>
      <c r="AD390" s="906">
        <v>0</v>
      </c>
      <c r="AE390" s="909">
        <v>0</v>
      </c>
      <c r="AF390" s="909">
        <v>0</v>
      </c>
      <c r="AG390" s="909">
        <v>0</v>
      </c>
      <c r="AH390" s="805" t="s">
        <v>614</v>
      </c>
      <c r="AI390" s="805" t="s">
        <v>614</v>
      </c>
      <c r="AJ390" s="805" t="s">
        <v>94</v>
      </c>
      <c r="AK390" s="805"/>
      <c r="AL390" s="805" t="s">
        <v>94</v>
      </c>
      <c r="AM390" s="805"/>
      <c r="AN390" s="333"/>
      <c r="AO390" s="805" t="s">
        <v>94</v>
      </c>
      <c r="AP390" s="333"/>
      <c r="AQ390" s="805" t="s">
        <v>94</v>
      </c>
      <c r="AR390" s="805"/>
      <c r="AS390" s="805"/>
      <c r="AT390" s="190" t="s">
        <v>129</v>
      </c>
      <c r="AU390" s="318">
        <f t="shared" ref="AU390:BB390" si="315">+V392*$J$390</f>
        <v>0</v>
      </c>
      <c r="AV390" s="203">
        <f t="shared" si="315"/>
        <v>0</v>
      </c>
      <c r="AW390" s="318">
        <f t="shared" si="315"/>
        <v>0</v>
      </c>
      <c r="AX390" s="318">
        <f t="shared" si="315"/>
        <v>0</v>
      </c>
      <c r="AY390" s="203">
        <f t="shared" si="315"/>
        <v>0</v>
      </c>
      <c r="AZ390" s="203">
        <f t="shared" si="315"/>
        <v>0</v>
      </c>
      <c r="BA390" s="203">
        <f t="shared" si="315"/>
        <v>0</v>
      </c>
      <c r="BB390" s="203">
        <f t="shared" si="315"/>
        <v>0</v>
      </c>
      <c r="BC390" s="612"/>
      <c r="BD390" s="609"/>
      <c r="BE390" s="117"/>
      <c r="BF390" s="118"/>
    </row>
    <row r="391" spans="1:60" s="120" customFormat="1" ht="39.950000000000003" customHeight="1" x14ac:dyDescent="0.25">
      <c r="A391" s="675"/>
      <c r="B391" s="664"/>
      <c r="C391" s="673"/>
      <c r="D391" s="933"/>
      <c r="E391" s="913"/>
      <c r="F391" s="916"/>
      <c r="G391" s="926"/>
      <c r="H391" s="916"/>
      <c r="I391" s="733"/>
      <c r="J391" s="762"/>
      <c r="K391" s="723"/>
      <c r="L391" s="723"/>
      <c r="M391" s="723"/>
      <c r="N391" s="723"/>
      <c r="O391" s="723"/>
      <c r="P391" s="925"/>
      <c r="Q391" s="723"/>
      <c r="R391" s="916"/>
      <c r="S391" s="916"/>
      <c r="T391" s="765"/>
      <c r="U391" s="176" t="s">
        <v>345</v>
      </c>
      <c r="V391" s="334">
        <v>0.01</v>
      </c>
      <c r="W391" s="334">
        <v>1</v>
      </c>
      <c r="X391" s="334">
        <v>0.01</v>
      </c>
      <c r="Y391" s="334">
        <v>0.01</v>
      </c>
      <c r="Z391" s="334">
        <v>0.01</v>
      </c>
      <c r="AA391" s="334">
        <f>+W391</f>
        <v>1</v>
      </c>
      <c r="AB391" s="334">
        <v>0.01</v>
      </c>
      <c r="AC391" s="334">
        <v>0.01</v>
      </c>
      <c r="AD391" s="907"/>
      <c r="AE391" s="910"/>
      <c r="AF391" s="910"/>
      <c r="AG391" s="910"/>
      <c r="AH391" s="806"/>
      <c r="AI391" s="806"/>
      <c r="AJ391" s="806"/>
      <c r="AK391" s="806"/>
      <c r="AL391" s="806"/>
      <c r="AM391" s="806"/>
      <c r="AN391" s="335"/>
      <c r="AO391" s="806"/>
      <c r="AP391" s="335"/>
      <c r="AQ391" s="806"/>
      <c r="AR391" s="806"/>
      <c r="AS391" s="806"/>
      <c r="AT391" s="190" t="s">
        <v>131</v>
      </c>
      <c r="AU391" s="203">
        <f>+AU390*$H$390</f>
        <v>0</v>
      </c>
      <c r="AV391" s="203">
        <f t="shared" ref="AV391:BB391" si="316">+AV390*$H$390</f>
        <v>0</v>
      </c>
      <c r="AW391" s="203">
        <f t="shared" si="316"/>
        <v>0</v>
      </c>
      <c r="AX391" s="203">
        <f t="shared" si="316"/>
        <v>0</v>
      </c>
      <c r="AY391" s="203">
        <f t="shared" si="316"/>
        <v>0</v>
      </c>
      <c r="AZ391" s="203">
        <f t="shared" si="316"/>
        <v>0</v>
      </c>
      <c r="BA391" s="203">
        <f t="shared" si="316"/>
        <v>0</v>
      </c>
      <c r="BB391" s="203">
        <f t="shared" si="316"/>
        <v>0</v>
      </c>
      <c r="BC391" s="612"/>
      <c r="BD391" s="609"/>
      <c r="BE391" s="117"/>
      <c r="BF391" s="118"/>
    </row>
    <row r="392" spans="1:60" s="242" customFormat="1" ht="24.95" customHeight="1" x14ac:dyDescent="0.25">
      <c r="A392" s="675"/>
      <c r="B392" s="664"/>
      <c r="C392" s="673"/>
      <c r="D392" s="933"/>
      <c r="E392" s="913"/>
      <c r="F392" s="916"/>
      <c r="G392" s="926"/>
      <c r="H392" s="917"/>
      <c r="I392" s="733"/>
      <c r="J392" s="763"/>
      <c r="K392" s="724"/>
      <c r="L392" s="724"/>
      <c r="M392" s="724"/>
      <c r="N392" s="724"/>
      <c r="O392" s="724"/>
      <c r="P392" s="925"/>
      <c r="Q392" s="724"/>
      <c r="R392" s="917"/>
      <c r="S392" s="917"/>
      <c r="T392" s="766"/>
      <c r="U392" s="172" t="s">
        <v>646</v>
      </c>
      <c r="V392" s="318">
        <f t="shared" ref="V392:AC392" si="317">IF((V390/V391)&lt;$I$8,(V390/V391),IF((V390/V391)&lt;$J$8,(V390/V391),IF((V390/V391)&lt;$J$9,(V390/V391),IF((V390/V391)&gt;=$J$9,$J$9))))</f>
        <v>0</v>
      </c>
      <c r="W392" s="123">
        <f t="shared" si="317"/>
        <v>0</v>
      </c>
      <c r="X392" s="318">
        <f t="shared" si="317"/>
        <v>0</v>
      </c>
      <c r="Y392" s="318">
        <f t="shared" si="317"/>
        <v>0</v>
      </c>
      <c r="Z392" s="318">
        <f t="shared" si="317"/>
        <v>0</v>
      </c>
      <c r="AA392" s="123">
        <f t="shared" si="317"/>
        <v>0</v>
      </c>
      <c r="AB392" s="318">
        <f t="shared" si="317"/>
        <v>0</v>
      </c>
      <c r="AC392" s="318">
        <f t="shared" si="317"/>
        <v>0</v>
      </c>
      <c r="AD392" s="908"/>
      <c r="AE392" s="911"/>
      <c r="AF392" s="911"/>
      <c r="AG392" s="911"/>
      <c r="AH392" s="807"/>
      <c r="AI392" s="807"/>
      <c r="AJ392" s="807"/>
      <c r="AK392" s="807"/>
      <c r="AL392" s="807"/>
      <c r="AM392" s="807"/>
      <c r="AN392" s="336"/>
      <c r="AO392" s="807"/>
      <c r="AP392" s="336"/>
      <c r="AQ392" s="807"/>
      <c r="AR392" s="807"/>
      <c r="AS392" s="807"/>
      <c r="AT392" s="190" t="s">
        <v>132</v>
      </c>
      <c r="AU392" s="575"/>
      <c r="AV392" s="576"/>
      <c r="AW392" s="576"/>
      <c r="AX392" s="576"/>
      <c r="AY392" s="576"/>
      <c r="AZ392" s="576"/>
      <c r="BA392" s="576"/>
      <c r="BB392" s="577"/>
      <c r="BC392" s="612"/>
      <c r="BD392" s="609"/>
      <c r="BE392" s="118"/>
      <c r="BF392" s="118"/>
    </row>
    <row r="393" spans="1:60" s="120" customFormat="1" ht="39.950000000000003" customHeight="1" x14ac:dyDescent="0.25">
      <c r="A393" s="675"/>
      <c r="B393" s="664"/>
      <c r="C393" s="665">
        <v>8</v>
      </c>
      <c r="D393" s="933"/>
      <c r="E393" s="913"/>
      <c r="F393" s="916"/>
      <c r="G393" s="926" t="s">
        <v>328</v>
      </c>
      <c r="H393" s="719">
        <v>0.05</v>
      </c>
      <c r="I393" s="733" t="s">
        <v>328</v>
      </c>
      <c r="J393" s="761">
        <v>1</v>
      </c>
      <c r="K393" s="723" t="s">
        <v>653</v>
      </c>
      <c r="L393" s="723" t="s">
        <v>654</v>
      </c>
      <c r="M393" s="798" t="s">
        <v>655</v>
      </c>
      <c r="N393" s="722" t="s">
        <v>656</v>
      </c>
      <c r="O393" s="723" t="s">
        <v>89</v>
      </c>
      <c r="P393" s="925">
        <v>0.05</v>
      </c>
      <c r="Q393" s="722" t="s">
        <v>370</v>
      </c>
      <c r="R393" s="915">
        <v>1</v>
      </c>
      <c r="S393" s="915">
        <v>1</v>
      </c>
      <c r="T393" s="764" t="s">
        <v>91</v>
      </c>
      <c r="U393" s="164" t="s">
        <v>657</v>
      </c>
      <c r="V393" s="338"/>
      <c r="W393" s="338"/>
      <c r="X393" s="338"/>
      <c r="Y393" s="338"/>
      <c r="Z393" s="339"/>
      <c r="AA393" s="339"/>
      <c r="AB393" s="339"/>
      <c r="AC393" s="339"/>
      <c r="AD393" s="906">
        <v>0</v>
      </c>
      <c r="AE393" s="909">
        <v>0</v>
      </c>
      <c r="AF393" s="909">
        <v>0</v>
      </c>
      <c r="AG393" s="909">
        <v>0</v>
      </c>
      <c r="AH393" s="805" t="s">
        <v>614</v>
      </c>
      <c r="AI393" s="805" t="s">
        <v>614</v>
      </c>
      <c r="AJ393" s="805" t="s">
        <v>94</v>
      </c>
      <c r="AK393" s="805"/>
      <c r="AL393" s="805" t="s">
        <v>94</v>
      </c>
      <c r="AM393" s="805"/>
      <c r="AN393" s="805" t="s">
        <v>94</v>
      </c>
      <c r="AO393" s="333"/>
      <c r="AP393" s="333"/>
      <c r="AQ393" s="805" t="s">
        <v>94</v>
      </c>
      <c r="AR393" s="805"/>
      <c r="AS393" s="805"/>
      <c r="AT393" s="190" t="s">
        <v>129</v>
      </c>
      <c r="AU393" s="203">
        <f t="shared" ref="AU393:BB393" si="318">+V395*$J$393</f>
        <v>0</v>
      </c>
      <c r="AV393" s="203">
        <f t="shared" si="318"/>
        <v>0</v>
      </c>
      <c r="AW393" s="203">
        <f t="shared" si="318"/>
        <v>0</v>
      </c>
      <c r="AX393" s="203">
        <f t="shared" si="318"/>
        <v>0</v>
      </c>
      <c r="AY393" s="203">
        <f t="shared" si="318"/>
        <v>0</v>
      </c>
      <c r="AZ393" s="203">
        <f t="shared" si="318"/>
        <v>0</v>
      </c>
      <c r="BA393" s="203">
        <f t="shared" si="318"/>
        <v>0</v>
      </c>
      <c r="BB393" s="203">
        <f t="shared" si="318"/>
        <v>0</v>
      </c>
      <c r="BC393" s="612"/>
      <c r="BD393" s="609"/>
      <c r="BE393" s="117"/>
      <c r="BF393" s="118"/>
    </row>
    <row r="394" spans="1:60" s="120" customFormat="1" ht="39.950000000000003" customHeight="1" x14ac:dyDescent="0.25">
      <c r="A394" s="675"/>
      <c r="B394" s="664"/>
      <c r="C394" s="665"/>
      <c r="D394" s="933"/>
      <c r="E394" s="913"/>
      <c r="F394" s="916"/>
      <c r="G394" s="926"/>
      <c r="H394" s="719"/>
      <c r="I394" s="733"/>
      <c r="J394" s="762"/>
      <c r="K394" s="723"/>
      <c r="L394" s="723"/>
      <c r="M394" s="798"/>
      <c r="N394" s="723"/>
      <c r="O394" s="723"/>
      <c r="P394" s="925"/>
      <c r="Q394" s="723"/>
      <c r="R394" s="916"/>
      <c r="S394" s="916"/>
      <c r="T394" s="765"/>
      <c r="U394" s="176" t="s">
        <v>658</v>
      </c>
      <c r="V394" s="340">
        <v>111150000</v>
      </c>
      <c r="W394" s="340">
        <v>111150000</v>
      </c>
      <c r="X394" s="340">
        <v>111150000</v>
      </c>
      <c r="Y394" s="340">
        <v>98728333</v>
      </c>
      <c r="Z394" s="341">
        <f>V394</f>
        <v>111150000</v>
      </c>
      <c r="AA394" s="341">
        <f>+V394+W394</f>
        <v>222300000</v>
      </c>
      <c r="AB394" s="341">
        <f>+V394+W394+X394</f>
        <v>333450000</v>
      </c>
      <c r="AC394" s="341">
        <f>+V394+W394+X394+Y394</f>
        <v>432178333</v>
      </c>
      <c r="AD394" s="907"/>
      <c r="AE394" s="910"/>
      <c r="AF394" s="910"/>
      <c r="AG394" s="910"/>
      <c r="AH394" s="806"/>
      <c r="AI394" s="806"/>
      <c r="AJ394" s="806"/>
      <c r="AK394" s="806"/>
      <c r="AL394" s="806"/>
      <c r="AM394" s="806"/>
      <c r="AN394" s="806"/>
      <c r="AO394" s="335"/>
      <c r="AP394" s="335"/>
      <c r="AQ394" s="806"/>
      <c r="AR394" s="806"/>
      <c r="AS394" s="806"/>
      <c r="AT394" s="190" t="s">
        <v>131</v>
      </c>
      <c r="AU394" s="203">
        <f>+AU393*$H$393</f>
        <v>0</v>
      </c>
      <c r="AV394" s="203">
        <f t="shared" ref="AV394:BB394" si="319">+AV393*$H$393</f>
        <v>0</v>
      </c>
      <c r="AW394" s="203">
        <f t="shared" si="319"/>
        <v>0</v>
      </c>
      <c r="AX394" s="203">
        <f t="shared" si="319"/>
        <v>0</v>
      </c>
      <c r="AY394" s="203">
        <f t="shared" si="319"/>
        <v>0</v>
      </c>
      <c r="AZ394" s="203">
        <f t="shared" si="319"/>
        <v>0</v>
      </c>
      <c r="BA394" s="203">
        <f t="shared" si="319"/>
        <v>0</v>
      </c>
      <c r="BB394" s="203">
        <f t="shared" si="319"/>
        <v>0</v>
      </c>
      <c r="BC394" s="612"/>
      <c r="BD394" s="609"/>
      <c r="BE394" s="117"/>
      <c r="BF394" s="118"/>
    </row>
    <row r="395" spans="1:60" s="120" customFormat="1" ht="24.95" customHeight="1" thickBot="1" x14ac:dyDescent="0.3">
      <c r="A395" s="675"/>
      <c r="B395" s="664"/>
      <c r="C395" s="665"/>
      <c r="D395" s="933"/>
      <c r="E395" s="914"/>
      <c r="F395" s="917"/>
      <c r="G395" s="926"/>
      <c r="H395" s="719"/>
      <c r="I395" s="733"/>
      <c r="J395" s="763"/>
      <c r="K395" s="724"/>
      <c r="L395" s="724"/>
      <c r="M395" s="799"/>
      <c r="N395" s="724"/>
      <c r="O395" s="724"/>
      <c r="P395" s="925"/>
      <c r="Q395" s="724"/>
      <c r="R395" s="917"/>
      <c r="S395" s="917"/>
      <c r="T395" s="766"/>
      <c r="U395" s="172" t="s">
        <v>646</v>
      </c>
      <c r="V395" s="123">
        <f t="shared" ref="V395:AC395" si="320">IF((V393/V394)&lt;$I$8,(V393/V394),IF((V393/V394)&lt;$J$8,(V393/V394),IF((V393/V394)&lt;$J$9,(V393/V394),IF((V393/V394)&gt;=$J$9,$J$9))))</f>
        <v>0</v>
      </c>
      <c r="W395" s="123">
        <f t="shared" si="320"/>
        <v>0</v>
      </c>
      <c r="X395" s="123">
        <f t="shared" si="320"/>
        <v>0</v>
      </c>
      <c r="Y395" s="123">
        <f t="shared" si="320"/>
        <v>0</v>
      </c>
      <c r="Z395" s="123">
        <f t="shared" si="320"/>
        <v>0</v>
      </c>
      <c r="AA395" s="123">
        <f t="shared" si="320"/>
        <v>0</v>
      </c>
      <c r="AB395" s="123">
        <f t="shared" si="320"/>
        <v>0</v>
      </c>
      <c r="AC395" s="123">
        <f t="shared" si="320"/>
        <v>0</v>
      </c>
      <c r="AD395" s="908"/>
      <c r="AE395" s="911"/>
      <c r="AF395" s="911"/>
      <c r="AG395" s="911"/>
      <c r="AH395" s="807"/>
      <c r="AI395" s="807"/>
      <c r="AJ395" s="807"/>
      <c r="AK395" s="807"/>
      <c r="AL395" s="807"/>
      <c r="AM395" s="807"/>
      <c r="AN395" s="807"/>
      <c r="AO395" s="336"/>
      <c r="AP395" s="336"/>
      <c r="AQ395" s="807"/>
      <c r="AR395" s="807"/>
      <c r="AS395" s="807"/>
      <c r="AT395" s="190" t="s">
        <v>132</v>
      </c>
      <c r="AU395" s="599"/>
      <c r="AV395" s="600"/>
      <c r="AW395" s="600"/>
      <c r="AX395" s="600"/>
      <c r="AY395" s="600"/>
      <c r="AZ395" s="600"/>
      <c r="BA395" s="600"/>
      <c r="BB395" s="601"/>
      <c r="BC395" s="613"/>
      <c r="BD395" s="610"/>
      <c r="BE395" s="117"/>
      <c r="BF395" s="118"/>
    </row>
    <row r="396" spans="1:60" s="159" customFormat="1" ht="24.95" hidden="1" customHeight="1" thickBot="1" x14ac:dyDescent="0.3">
      <c r="A396" s="44"/>
      <c r="B396" s="151"/>
      <c r="C396" s="178">
        <f>+C393+C357</f>
        <v>73</v>
      </c>
      <c r="D396" s="144"/>
      <c r="E396" s="67"/>
      <c r="F396" s="154"/>
      <c r="G396" s="154"/>
      <c r="H396" s="154"/>
      <c r="I396" s="155"/>
      <c r="J396" s="154"/>
      <c r="K396" s="155"/>
      <c r="L396" s="155"/>
      <c r="M396" s="214"/>
      <c r="N396" s="214"/>
      <c r="O396" s="214"/>
      <c r="P396" s="154"/>
      <c r="Q396" s="154"/>
      <c r="R396" s="154"/>
      <c r="S396" s="154"/>
      <c r="T396" s="154"/>
      <c r="U396" s="214"/>
      <c r="V396" s="157"/>
      <c r="W396" s="157"/>
      <c r="X396" s="157"/>
      <c r="Y396" s="157"/>
      <c r="Z396" s="157"/>
      <c r="AA396" s="157"/>
      <c r="AB396" s="157"/>
      <c r="AC396" s="157"/>
      <c r="AD396" s="158"/>
      <c r="AE396" s="157"/>
      <c r="AF396" s="157"/>
      <c r="AG396" s="157"/>
      <c r="AH396" s="157"/>
      <c r="AI396" s="157"/>
      <c r="AJ396" s="145">
        <f>COUNTA(AJ372:AJ395)</f>
        <v>8</v>
      </c>
      <c r="AK396" s="145">
        <f t="shared" ref="AK396:AS396" si="321">COUNTA(AK372:AK395)</f>
        <v>0</v>
      </c>
      <c r="AL396" s="145">
        <f t="shared" si="321"/>
        <v>3</v>
      </c>
      <c r="AM396" s="145">
        <f t="shared" si="321"/>
        <v>0</v>
      </c>
      <c r="AN396" s="145">
        <f t="shared" si="321"/>
        <v>1</v>
      </c>
      <c r="AO396" s="145">
        <f t="shared" si="321"/>
        <v>6</v>
      </c>
      <c r="AP396" s="145">
        <f t="shared" si="321"/>
        <v>1</v>
      </c>
      <c r="AQ396" s="145">
        <f t="shared" si="321"/>
        <v>6</v>
      </c>
      <c r="AR396" s="145">
        <f t="shared" si="321"/>
        <v>2</v>
      </c>
      <c r="AS396" s="145">
        <f t="shared" si="321"/>
        <v>0</v>
      </c>
      <c r="AT396" s="215"/>
      <c r="AU396" s="267">
        <f>+AU374</f>
        <v>0</v>
      </c>
      <c r="AV396" s="267">
        <f t="shared" ref="AV396:BB396" si="322">+AV374</f>
        <v>0</v>
      </c>
      <c r="AW396" s="267">
        <f t="shared" si="322"/>
        <v>0</v>
      </c>
      <c r="AX396" s="267">
        <f t="shared" si="322"/>
        <v>0</v>
      </c>
      <c r="AY396" s="205">
        <f t="shared" si="322"/>
        <v>0</v>
      </c>
      <c r="AZ396" s="267">
        <f t="shared" si="322"/>
        <v>0</v>
      </c>
      <c r="BA396" s="267">
        <f t="shared" si="322"/>
        <v>0</v>
      </c>
      <c r="BB396" s="267">
        <f t="shared" si="322"/>
        <v>0</v>
      </c>
      <c r="BC396" s="157"/>
      <c r="BD396" s="157"/>
      <c r="BE396" s="47"/>
      <c r="BF396" s="94"/>
      <c r="BG396" s="95"/>
      <c r="BH396" s="95"/>
    </row>
    <row r="397" spans="1:60" s="159" customFormat="1" ht="20.100000000000001" hidden="1" customHeight="1" x14ac:dyDescent="0.25">
      <c r="A397" s="271"/>
      <c r="B397" s="272"/>
      <c r="C397" s="107"/>
      <c r="D397" s="273"/>
      <c r="E397" s="273"/>
      <c r="F397" s="154"/>
      <c r="G397" s="154"/>
      <c r="H397" s="154"/>
      <c r="I397" s="155"/>
      <c r="J397" s="154"/>
      <c r="K397" s="155"/>
      <c r="L397" s="155"/>
      <c r="M397" s="155"/>
      <c r="N397" s="155"/>
      <c r="O397" s="155"/>
      <c r="P397" s="155"/>
      <c r="Q397" s="646" t="s">
        <v>154</v>
      </c>
      <c r="R397" s="646"/>
      <c r="S397" s="646"/>
      <c r="T397" s="646"/>
      <c r="U397" s="646"/>
      <c r="V397" s="156">
        <v>6</v>
      </c>
      <c r="W397" s="156">
        <v>8</v>
      </c>
      <c r="X397" s="156">
        <v>6</v>
      </c>
      <c r="Y397" s="156">
        <f>+C393</f>
        <v>8</v>
      </c>
      <c r="Z397" s="157"/>
      <c r="AA397" s="157"/>
      <c r="AB397" s="157"/>
      <c r="AC397" s="157"/>
      <c r="AD397" s="158"/>
      <c r="AE397" s="157"/>
      <c r="AF397" s="157"/>
      <c r="AG397" s="157"/>
      <c r="AH397" s="157"/>
      <c r="AI397" s="157"/>
      <c r="AJ397" s="157"/>
      <c r="AK397" s="157"/>
      <c r="AL397" s="157"/>
      <c r="AM397" s="157"/>
      <c r="AN397" s="157"/>
      <c r="AO397" s="157"/>
      <c r="AP397" s="157"/>
      <c r="AQ397" s="157"/>
      <c r="AR397" s="157"/>
      <c r="AS397" s="157"/>
      <c r="AT397" s="157"/>
      <c r="AU397" s="48"/>
      <c r="AV397" s="48"/>
      <c r="AW397" s="48"/>
      <c r="AX397" s="48"/>
      <c r="AY397" s="48"/>
      <c r="AZ397" s="48"/>
      <c r="BA397" s="48"/>
      <c r="BB397" s="48"/>
      <c r="BC397" s="48"/>
      <c r="BD397" s="48"/>
      <c r="BE397" s="47"/>
      <c r="BF397" s="94"/>
      <c r="BG397" s="95"/>
      <c r="BH397" s="95"/>
    </row>
    <row r="398" spans="1:60" ht="20.100000000000001" hidden="1" customHeight="1" x14ac:dyDescent="0.25">
      <c r="A398" s="271"/>
      <c r="B398" s="272"/>
      <c r="C398" s="107"/>
      <c r="D398" s="273"/>
      <c r="E398" s="273"/>
      <c r="F398" s="154"/>
      <c r="G398" s="154"/>
      <c r="H398" s="154"/>
      <c r="I398" s="155"/>
      <c r="J398" s="154"/>
      <c r="K398" s="155"/>
      <c r="L398" s="155"/>
      <c r="M398" s="155"/>
      <c r="N398" s="155"/>
      <c r="O398" s="155"/>
      <c r="P398" s="155"/>
      <c r="Q398" s="646" t="s">
        <v>155</v>
      </c>
      <c r="R398" s="646"/>
      <c r="S398" s="646"/>
      <c r="T398" s="646"/>
      <c r="U398" s="646"/>
      <c r="V398" s="161">
        <v>6</v>
      </c>
      <c r="W398" s="161">
        <v>8</v>
      </c>
      <c r="X398" s="161"/>
      <c r="Y398" s="161"/>
      <c r="Z398" s="157"/>
      <c r="AA398" s="157"/>
      <c r="AB398" s="157"/>
      <c r="AC398" s="157"/>
      <c r="AD398" s="158"/>
      <c r="AE398" s="157"/>
      <c r="AF398" s="157"/>
      <c r="AG398" s="157"/>
      <c r="AH398" s="157"/>
      <c r="AI398" s="157"/>
      <c r="AJ398" s="157"/>
      <c r="AK398" s="157"/>
      <c r="AL398" s="157"/>
      <c r="AM398" s="157"/>
      <c r="AN398" s="157"/>
      <c r="AO398" s="157"/>
      <c r="AP398" s="157"/>
      <c r="AQ398" s="157"/>
      <c r="AR398" s="157"/>
      <c r="AS398" s="157"/>
      <c r="AT398" s="157"/>
      <c r="AU398" s="48"/>
      <c r="AV398" s="48"/>
      <c r="AW398" s="48"/>
      <c r="AX398" s="48"/>
      <c r="AY398" s="48"/>
      <c r="AZ398" s="48"/>
      <c r="BA398" s="48"/>
      <c r="BB398" s="48"/>
      <c r="BC398" s="48"/>
      <c r="BD398" s="48"/>
      <c r="BE398" s="47"/>
      <c r="BF398" s="94"/>
      <c r="BG398" s="95"/>
      <c r="BH398" s="95"/>
    </row>
    <row r="399" spans="1:60" ht="20.100000000000001" hidden="1" customHeight="1" x14ac:dyDescent="0.25">
      <c r="A399" s="271"/>
      <c r="B399" s="272"/>
      <c r="C399" s="107"/>
      <c r="D399" s="273"/>
      <c r="E399" s="273"/>
      <c r="F399" s="154"/>
      <c r="G399" s="154"/>
      <c r="H399" s="154"/>
      <c r="I399" s="155"/>
      <c r="J399" s="154"/>
      <c r="K399" s="155"/>
      <c r="L399" s="155"/>
      <c r="M399" s="155"/>
      <c r="N399" s="155"/>
      <c r="O399" s="155"/>
      <c r="P399" s="155"/>
      <c r="Q399" s="646" t="s">
        <v>156</v>
      </c>
      <c r="R399" s="646"/>
      <c r="S399" s="646"/>
      <c r="T399" s="646"/>
      <c r="U399" s="646"/>
      <c r="V399" s="161">
        <v>0</v>
      </c>
      <c r="W399" s="161">
        <v>8</v>
      </c>
      <c r="X399" s="161"/>
      <c r="Y399" s="161"/>
      <c r="Z399" s="157"/>
      <c r="AA399" s="157"/>
      <c r="AB399" s="157"/>
      <c r="AC399" s="157"/>
      <c r="AD399" s="158"/>
      <c r="AE399" s="157"/>
      <c r="AF399" s="157"/>
      <c r="AG399" s="157"/>
      <c r="AH399" s="157"/>
      <c r="AI399" s="157"/>
      <c r="AJ399" s="157"/>
      <c r="AK399" s="157"/>
      <c r="AL399" s="157"/>
      <c r="AM399" s="157"/>
      <c r="AN399" s="157"/>
      <c r="AO399" s="157"/>
      <c r="AP399" s="157"/>
      <c r="AQ399" s="157"/>
      <c r="AR399" s="157"/>
      <c r="AS399" s="157"/>
      <c r="AT399" s="157"/>
      <c r="AU399" s="48"/>
      <c r="AV399" s="48"/>
      <c r="AW399" s="48"/>
      <c r="AX399" s="48"/>
      <c r="AY399" s="48"/>
      <c r="AZ399" s="48"/>
      <c r="BA399" s="48"/>
      <c r="BB399" s="48"/>
      <c r="BC399" s="48"/>
      <c r="BD399" s="48"/>
      <c r="BE399" s="47"/>
      <c r="BF399" s="94"/>
      <c r="BG399" s="95"/>
      <c r="BH399" s="95"/>
    </row>
    <row r="400" spans="1:60" ht="20.100000000000001" hidden="1" customHeight="1" x14ac:dyDescent="0.25">
      <c r="A400" s="271"/>
      <c r="B400" s="272"/>
      <c r="C400" s="107"/>
      <c r="D400" s="273"/>
      <c r="E400" s="273"/>
      <c r="F400" s="154"/>
      <c r="G400" s="154"/>
      <c r="H400" s="154"/>
      <c r="I400" s="155"/>
      <c r="J400" s="154"/>
      <c r="K400" s="155"/>
      <c r="L400" s="155"/>
      <c r="M400" s="155"/>
      <c r="N400" s="155"/>
      <c r="O400" s="155"/>
      <c r="P400" s="155"/>
      <c r="Q400" s="646" t="s">
        <v>157</v>
      </c>
      <c r="R400" s="646"/>
      <c r="S400" s="646"/>
      <c r="T400" s="646"/>
      <c r="U400" s="647"/>
      <c r="V400" s="161">
        <f>+V397-V398</f>
        <v>0</v>
      </c>
      <c r="W400" s="161">
        <f>+W397-W398</f>
        <v>0</v>
      </c>
      <c r="X400" s="161">
        <f>+X397-X398</f>
        <v>6</v>
      </c>
      <c r="Y400" s="161">
        <f>+Y397-Y398</f>
        <v>8</v>
      </c>
      <c r="Z400" s="157"/>
      <c r="AA400" s="157"/>
      <c r="AB400" s="157"/>
      <c r="AC400" s="157"/>
      <c r="AD400" s="158"/>
      <c r="AE400" s="157"/>
      <c r="AF400" s="157"/>
      <c r="AG400" s="157"/>
      <c r="AH400" s="157"/>
      <c r="AI400" s="157"/>
      <c r="AJ400" s="157"/>
      <c r="AK400" s="157"/>
      <c r="AL400" s="157"/>
      <c r="AM400" s="157"/>
      <c r="AN400" s="157"/>
      <c r="AO400" s="157"/>
      <c r="AP400" s="157"/>
      <c r="AQ400" s="157"/>
      <c r="AR400" s="157"/>
      <c r="AS400" s="157"/>
      <c r="AT400" s="157"/>
      <c r="AU400" s="48"/>
      <c r="AV400" s="48"/>
      <c r="AW400" s="48"/>
      <c r="AX400" s="48"/>
      <c r="AY400" s="48"/>
      <c r="AZ400" s="48"/>
      <c r="BA400" s="48"/>
      <c r="BB400" s="48"/>
      <c r="BC400" s="48"/>
      <c r="BD400" s="48"/>
      <c r="BE400" s="47"/>
      <c r="BF400" s="94"/>
      <c r="BG400" s="95"/>
      <c r="BH400" s="95"/>
    </row>
    <row r="401" spans="1:60" ht="20.100000000000001" hidden="1" customHeight="1" x14ac:dyDescent="0.25">
      <c r="A401" s="271"/>
      <c r="B401" s="272"/>
      <c r="C401" s="107"/>
      <c r="D401" s="273"/>
      <c r="E401" s="273"/>
      <c r="F401" s="154"/>
      <c r="G401" s="154"/>
      <c r="H401" s="154"/>
      <c r="I401" s="155"/>
      <c r="J401" s="154"/>
      <c r="K401" s="155"/>
      <c r="L401" s="155"/>
      <c r="M401" s="155"/>
      <c r="N401" s="155"/>
      <c r="O401" s="155"/>
      <c r="P401" s="155"/>
      <c r="Q401" s="646" t="s">
        <v>158</v>
      </c>
      <c r="R401" s="646"/>
      <c r="S401" s="646"/>
      <c r="T401" s="646"/>
      <c r="U401" s="646"/>
      <c r="V401" s="156">
        <f>+V397</f>
        <v>6</v>
      </c>
      <c r="W401" s="156">
        <f>+W397</f>
        <v>8</v>
      </c>
      <c r="X401" s="156">
        <f>+X397</f>
        <v>6</v>
      </c>
      <c r="Y401" s="156">
        <f>+Y397</f>
        <v>8</v>
      </c>
      <c r="Z401" s="157"/>
      <c r="AA401" s="157"/>
      <c r="AB401" s="157"/>
      <c r="AC401" s="157"/>
      <c r="AD401" s="158"/>
      <c r="AE401" s="157"/>
      <c r="AF401" s="157"/>
      <c r="AG401" s="157"/>
      <c r="AH401" s="157"/>
      <c r="AI401" s="157"/>
      <c r="AJ401" s="157"/>
      <c r="AK401" s="157"/>
      <c r="AL401" s="157"/>
      <c r="AM401" s="157"/>
      <c r="AN401" s="157"/>
      <c r="AO401" s="157"/>
      <c r="AP401" s="157"/>
      <c r="AQ401" s="157"/>
      <c r="AR401" s="157"/>
      <c r="AS401" s="157"/>
      <c r="AT401" s="157"/>
      <c r="AU401" s="48"/>
      <c r="AV401" s="48"/>
      <c r="AW401" s="48"/>
      <c r="AX401" s="48"/>
      <c r="AY401" s="48"/>
      <c r="AZ401" s="48"/>
      <c r="BA401" s="48"/>
      <c r="BB401" s="48"/>
      <c r="BC401" s="48"/>
      <c r="BD401" s="48"/>
      <c r="BE401" s="47"/>
      <c r="BF401" s="94"/>
      <c r="BG401" s="95"/>
      <c r="BH401" s="95"/>
    </row>
    <row r="402" spans="1:60" ht="20.100000000000001" hidden="1" customHeight="1" x14ac:dyDescent="0.25">
      <c r="A402" s="271"/>
      <c r="B402" s="272"/>
      <c r="C402" s="107"/>
      <c r="D402" s="273"/>
      <c r="E402" s="273"/>
      <c r="F402" s="154"/>
      <c r="G402" s="154"/>
      <c r="H402" s="154"/>
      <c r="I402" s="155"/>
      <c r="J402" s="154"/>
      <c r="K402" s="155"/>
      <c r="L402" s="155"/>
      <c r="M402" s="155"/>
      <c r="N402" s="155"/>
      <c r="O402" s="155"/>
      <c r="P402" s="155"/>
      <c r="Q402" s="646" t="s">
        <v>159</v>
      </c>
      <c r="R402" s="646"/>
      <c r="S402" s="646"/>
      <c r="T402" s="646"/>
      <c r="U402" s="646"/>
      <c r="V402" s="161">
        <v>4</v>
      </c>
      <c r="W402" s="161">
        <v>4</v>
      </c>
      <c r="X402" s="161"/>
      <c r="Y402" s="161"/>
      <c r="Z402" s="157"/>
      <c r="AA402" s="157"/>
      <c r="AB402" s="157"/>
      <c r="AC402" s="157"/>
      <c r="AD402" s="158"/>
      <c r="AE402" s="157"/>
      <c r="AF402" s="157"/>
      <c r="AG402" s="157"/>
      <c r="AH402" s="157"/>
      <c r="AI402" s="157"/>
      <c r="AJ402" s="157"/>
      <c r="AK402" s="157"/>
      <c r="AL402" s="157"/>
      <c r="AM402" s="157"/>
      <c r="AN402" s="157"/>
      <c r="AO402" s="157"/>
      <c r="AP402" s="157"/>
      <c r="AQ402" s="157"/>
      <c r="AR402" s="157"/>
      <c r="AS402" s="157"/>
      <c r="AT402" s="157"/>
      <c r="AU402" s="48"/>
      <c r="AV402" s="48"/>
      <c r="AW402" s="48"/>
      <c r="AX402" s="48"/>
      <c r="AY402" s="48"/>
      <c r="AZ402" s="48"/>
      <c r="BA402" s="48"/>
      <c r="BB402" s="48"/>
      <c r="BC402" s="48"/>
      <c r="BD402" s="48"/>
      <c r="BE402" s="47"/>
      <c r="BF402" s="94"/>
      <c r="BG402" s="95"/>
      <c r="BH402" s="95"/>
    </row>
    <row r="403" spans="1:60" ht="15" hidden="1" customHeight="1" x14ac:dyDescent="0.25">
      <c r="A403" s="79"/>
      <c r="B403" s="80"/>
      <c r="C403" s="88"/>
      <c r="D403" s="82"/>
      <c r="E403" s="82"/>
      <c r="F403" s="46"/>
      <c r="G403" s="46"/>
      <c r="H403" s="46"/>
      <c r="I403" s="46"/>
      <c r="J403" s="83"/>
      <c r="K403" s="46"/>
      <c r="L403" s="46"/>
      <c r="M403" s="46"/>
      <c r="N403" s="46"/>
      <c r="O403" s="46"/>
      <c r="P403" s="46"/>
      <c r="Q403" s="46"/>
      <c r="R403" s="46"/>
      <c r="S403" s="46"/>
      <c r="T403" s="46"/>
      <c r="U403" s="46"/>
      <c r="V403" s="924"/>
      <c r="W403" s="924"/>
      <c r="X403" s="73"/>
      <c r="Y403" s="73"/>
      <c r="Z403" s="46"/>
      <c r="AA403" s="46"/>
      <c r="AB403" s="46"/>
      <c r="AC403" s="46"/>
      <c r="AD403" s="47"/>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7"/>
      <c r="BF403" s="94"/>
      <c r="BG403" s="95"/>
      <c r="BH403" s="95"/>
    </row>
    <row r="404" spans="1:60" ht="20.100000000000001" hidden="1" customHeight="1" x14ac:dyDescent="0.25">
      <c r="A404" s="79"/>
      <c r="B404" s="80"/>
      <c r="C404" s="85"/>
      <c r="D404" s="109" t="s">
        <v>103</v>
      </c>
      <c r="E404" s="82"/>
      <c r="F404" s="46"/>
      <c r="G404" s="46"/>
      <c r="H404" s="46"/>
      <c r="I404" s="46"/>
      <c r="J404" s="83"/>
      <c r="K404" s="46"/>
      <c r="L404" s="46"/>
      <c r="M404" s="46"/>
      <c r="N404" s="46"/>
      <c r="O404" s="46"/>
      <c r="P404" s="46"/>
      <c r="Q404" s="46"/>
      <c r="R404" s="46"/>
      <c r="S404" s="46"/>
      <c r="T404" s="46"/>
      <c r="U404" s="46"/>
      <c r="V404" s="42"/>
      <c r="W404" s="46"/>
      <c r="X404" s="46"/>
      <c r="Y404" s="46"/>
      <c r="Z404" s="46"/>
      <c r="AA404" s="46"/>
      <c r="AB404" s="46"/>
      <c r="AC404" s="46"/>
      <c r="AD404" s="47"/>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9"/>
    </row>
    <row r="405" spans="1:60" ht="20.100000000000001" customHeight="1" x14ac:dyDescent="0.25">
      <c r="A405" s="79"/>
      <c r="B405" s="80"/>
      <c r="C405" s="85"/>
      <c r="D405" s="745" t="s">
        <v>34</v>
      </c>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c r="AA405" s="745"/>
      <c r="AB405" s="745"/>
      <c r="AC405" s="745"/>
      <c r="AD405" s="745"/>
      <c r="AE405" s="745"/>
      <c r="AF405" s="745"/>
      <c r="AG405" s="745"/>
      <c r="AH405" s="745"/>
      <c r="AI405" s="745"/>
      <c r="AJ405" s="745"/>
      <c r="AK405" s="745"/>
      <c r="AL405" s="745"/>
      <c r="AM405" s="745"/>
      <c r="AN405" s="745"/>
      <c r="AO405" s="745"/>
      <c r="AP405" s="745"/>
      <c r="AQ405" s="745"/>
      <c r="AR405" s="745"/>
      <c r="AS405" s="745"/>
      <c r="AT405" s="561" t="s">
        <v>104</v>
      </c>
      <c r="AU405" s="563"/>
      <c r="AV405" s="563"/>
      <c r="AW405" s="563"/>
      <c r="AX405" s="563"/>
      <c r="AY405" s="563"/>
      <c r="AZ405" s="563"/>
      <c r="BA405" s="563"/>
      <c r="BB405" s="562"/>
      <c r="BC405" s="561" t="s">
        <v>105</v>
      </c>
      <c r="BD405" s="562"/>
      <c r="BE405" s="48"/>
      <c r="BF405" s="49"/>
    </row>
    <row r="406" spans="1:60" ht="15" customHeight="1" x14ac:dyDescent="0.25">
      <c r="A406" s="79"/>
      <c r="B406" s="80"/>
      <c r="C406" s="85"/>
      <c r="D406" s="691" t="s">
        <v>106</v>
      </c>
      <c r="E406" s="691" t="s">
        <v>107</v>
      </c>
      <c r="F406" s="711" t="s">
        <v>108</v>
      </c>
      <c r="G406" s="691" t="s">
        <v>109</v>
      </c>
      <c r="H406" s="711" t="s">
        <v>110</v>
      </c>
      <c r="I406" s="691" t="s">
        <v>51</v>
      </c>
      <c r="J406" s="712" t="s">
        <v>111</v>
      </c>
      <c r="K406" s="691" t="s">
        <v>52</v>
      </c>
      <c r="L406" s="691"/>
      <c r="M406" s="691"/>
      <c r="N406" s="691" t="s">
        <v>53</v>
      </c>
      <c r="O406" s="691" t="s">
        <v>54</v>
      </c>
      <c r="P406" s="703" t="s">
        <v>55</v>
      </c>
      <c r="Q406" s="703" t="s">
        <v>56</v>
      </c>
      <c r="R406" s="703" t="s">
        <v>57</v>
      </c>
      <c r="S406" s="703" t="s">
        <v>58</v>
      </c>
      <c r="T406" s="703" t="s">
        <v>59</v>
      </c>
      <c r="U406" s="691" t="s">
        <v>60</v>
      </c>
      <c r="V406" s="691"/>
      <c r="W406" s="691"/>
      <c r="X406" s="691"/>
      <c r="Y406" s="691"/>
      <c r="Z406" s="704" t="s">
        <v>61</v>
      </c>
      <c r="AA406" s="705"/>
      <c r="AB406" s="705"/>
      <c r="AC406" s="706"/>
      <c r="AD406" s="707" t="s">
        <v>62</v>
      </c>
      <c r="AE406" s="708"/>
      <c r="AF406" s="709"/>
      <c r="AG406" s="695" t="s">
        <v>63</v>
      </c>
      <c r="AH406" s="695" t="s">
        <v>64</v>
      </c>
      <c r="AI406" s="695" t="s">
        <v>65</v>
      </c>
      <c r="AJ406" s="697" t="s">
        <v>66</v>
      </c>
      <c r="AK406" s="697"/>
      <c r="AL406" s="697"/>
      <c r="AM406" s="697"/>
      <c r="AN406" s="699"/>
      <c r="AO406" s="699"/>
      <c r="AP406" s="699"/>
      <c r="AQ406" s="699"/>
      <c r="AR406" s="699"/>
      <c r="AS406" s="700"/>
      <c r="AT406" s="558" t="s">
        <v>60</v>
      </c>
      <c r="AU406" s="569" t="s">
        <v>112</v>
      </c>
      <c r="AV406" s="570"/>
      <c r="AW406" s="570"/>
      <c r="AX406" s="571"/>
      <c r="AY406" s="569" t="s">
        <v>113</v>
      </c>
      <c r="AZ406" s="570"/>
      <c r="BA406" s="570"/>
      <c r="BB406" s="571"/>
      <c r="BC406" s="584" t="s">
        <v>114</v>
      </c>
      <c r="BD406" s="587" t="s">
        <v>102</v>
      </c>
      <c r="BE406" s="48"/>
      <c r="BF406" s="49"/>
    </row>
    <row r="407" spans="1:60" ht="15" customHeight="1" x14ac:dyDescent="0.25">
      <c r="A407" s="79"/>
      <c r="B407" s="80"/>
      <c r="C407" s="85"/>
      <c r="D407" s="691"/>
      <c r="E407" s="691"/>
      <c r="F407" s="711"/>
      <c r="G407" s="691"/>
      <c r="H407" s="711"/>
      <c r="I407" s="691"/>
      <c r="J407" s="712"/>
      <c r="K407" s="691"/>
      <c r="L407" s="691"/>
      <c r="M407" s="691"/>
      <c r="N407" s="691"/>
      <c r="O407" s="691"/>
      <c r="P407" s="703"/>
      <c r="Q407" s="703"/>
      <c r="R407" s="703"/>
      <c r="S407" s="703"/>
      <c r="T407" s="703"/>
      <c r="U407" s="691" t="s">
        <v>67</v>
      </c>
      <c r="V407" s="691"/>
      <c r="W407" s="691"/>
      <c r="X407" s="691"/>
      <c r="Y407" s="691"/>
      <c r="Z407" s="692" t="s">
        <v>67</v>
      </c>
      <c r="AA407" s="693"/>
      <c r="AB407" s="693"/>
      <c r="AC407" s="694"/>
      <c r="AD407" s="695" t="s">
        <v>68</v>
      </c>
      <c r="AE407" s="695" t="s">
        <v>69</v>
      </c>
      <c r="AF407" s="695" t="s">
        <v>70</v>
      </c>
      <c r="AG407" s="696"/>
      <c r="AH407" s="696"/>
      <c r="AI407" s="696"/>
      <c r="AJ407" s="698"/>
      <c r="AK407" s="698"/>
      <c r="AL407" s="698"/>
      <c r="AM407" s="698"/>
      <c r="AN407" s="701"/>
      <c r="AO407" s="701"/>
      <c r="AP407" s="701"/>
      <c r="AQ407" s="701"/>
      <c r="AR407" s="701"/>
      <c r="AS407" s="702"/>
      <c r="AT407" s="559"/>
      <c r="AU407" s="572"/>
      <c r="AV407" s="573"/>
      <c r="AW407" s="573"/>
      <c r="AX407" s="574"/>
      <c r="AY407" s="572"/>
      <c r="AZ407" s="573"/>
      <c r="BA407" s="573"/>
      <c r="BB407" s="574"/>
      <c r="BC407" s="585"/>
      <c r="BD407" s="588"/>
      <c r="BE407" s="48"/>
      <c r="BF407" s="49"/>
    </row>
    <row r="408" spans="1:60" s="95" customFormat="1" ht="24" customHeight="1" thickBot="1" x14ac:dyDescent="0.3">
      <c r="A408" s="86"/>
      <c r="B408" s="87"/>
      <c r="C408" s="88"/>
      <c r="D408" s="691"/>
      <c r="E408" s="691"/>
      <c r="F408" s="711"/>
      <c r="G408" s="691"/>
      <c r="H408" s="711"/>
      <c r="I408" s="691"/>
      <c r="J408" s="712"/>
      <c r="K408" s="89" t="s">
        <v>71</v>
      </c>
      <c r="L408" s="89" t="s">
        <v>115</v>
      </c>
      <c r="M408" s="89" t="s">
        <v>72</v>
      </c>
      <c r="N408" s="691"/>
      <c r="O408" s="691"/>
      <c r="P408" s="703"/>
      <c r="Q408" s="703"/>
      <c r="R408" s="703"/>
      <c r="S408" s="703"/>
      <c r="T408" s="703"/>
      <c r="U408" s="90" t="s">
        <v>73</v>
      </c>
      <c r="V408" s="89">
        <v>1</v>
      </c>
      <c r="W408" s="91">
        <v>2</v>
      </c>
      <c r="X408" s="91">
        <v>3</v>
      </c>
      <c r="Y408" s="91">
        <v>4</v>
      </c>
      <c r="Z408" s="162">
        <v>1</v>
      </c>
      <c r="AA408" s="110">
        <v>2</v>
      </c>
      <c r="AB408" s="110">
        <v>3</v>
      </c>
      <c r="AC408" s="110">
        <v>4</v>
      </c>
      <c r="AD408" s="696"/>
      <c r="AE408" s="696"/>
      <c r="AF408" s="696"/>
      <c r="AG408" s="696"/>
      <c r="AH408" s="696"/>
      <c r="AI408" s="697"/>
      <c r="AJ408" s="342" t="s">
        <v>74</v>
      </c>
      <c r="AK408" s="343" t="s">
        <v>75</v>
      </c>
      <c r="AL408" s="343" t="s">
        <v>76</v>
      </c>
      <c r="AM408" s="343" t="s">
        <v>77</v>
      </c>
      <c r="AN408" s="92" t="s">
        <v>78</v>
      </c>
      <c r="AO408" s="92" t="s">
        <v>79</v>
      </c>
      <c r="AP408" s="92" t="s">
        <v>80</v>
      </c>
      <c r="AQ408" s="92" t="s">
        <v>81</v>
      </c>
      <c r="AR408" s="93" t="s">
        <v>82</v>
      </c>
      <c r="AS408" s="93" t="s">
        <v>83</v>
      </c>
      <c r="AT408" s="560"/>
      <c r="AU408" s="111" t="s">
        <v>116</v>
      </c>
      <c r="AV408" s="111" t="s">
        <v>117</v>
      </c>
      <c r="AW408" s="111" t="s">
        <v>118</v>
      </c>
      <c r="AX408" s="111" t="s">
        <v>119</v>
      </c>
      <c r="AY408" s="111" t="s">
        <v>116</v>
      </c>
      <c r="AZ408" s="111" t="s">
        <v>117</v>
      </c>
      <c r="BA408" s="111" t="s">
        <v>118</v>
      </c>
      <c r="BB408" s="111" t="s">
        <v>119</v>
      </c>
      <c r="BC408" s="586"/>
      <c r="BD408" s="589"/>
      <c r="BE408" s="48"/>
      <c r="BF408" s="49"/>
    </row>
    <row r="409" spans="1:60" s="120" customFormat="1" ht="35.1" customHeight="1" x14ac:dyDescent="0.25">
      <c r="A409" s="675"/>
      <c r="B409" s="664"/>
      <c r="C409" s="665">
        <v>1</v>
      </c>
      <c r="D409" s="921" t="s">
        <v>34</v>
      </c>
      <c r="E409" s="912" t="s">
        <v>327</v>
      </c>
      <c r="F409" s="915">
        <v>0.95</v>
      </c>
      <c r="G409" s="758" t="s">
        <v>659</v>
      </c>
      <c r="H409" s="758">
        <v>0.5</v>
      </c>
      <c r="I409" s="722" t="s">
        <v>660</v>
      </c>
      <c r="J409" s="758">
        <v>0.15</v>
      </c>
      <c r="K409" s="722" t="s">
        <v>661</v>
      </c>
      <c r="L409" s="722" t="s">
        <v>662</v>
      </c>
      <c r="M409" s="733" t="str">
        <f>CONCATENATE(U409,$U$32,U410)</f>
        <v>No. Elementos con coincidencia física en bodegas / No. Elementos registrados en bodegas en el sistema de inventarios webSafi modulo de Inventarios</v>
      </c>
      <c r="N409" s="722" t="s">
        <v>663</v>
      </c>
      <c r="O409" s="722" t="s">
        <v>89</v>
      </c>
      <c r="P409" s="758">
        <v>0.05</v>
      </c>
      <c r="Q409" s="758">
        <v>0</v>
      </c>
      <c r="R409" s="758">
        <v>1</v>
      </c>
      <c r="S409" s="758">
        <v>0.5</v>
      </c>
      <c r="T409" s="764" t="s">
        <v>151</v>
      </c>
      <c r="U409" s="331" t="s">
        <v>664</v>
      </c>
      <c r="V409" s="331"/>
      <c r="W409" s="331"/>
      <c r="X409" s="331"/>
      <c r="Y409" s="331"/>
      <c r="Z409" s="332"/>
      <c r="AA409" s="332"/>
      <c r="AB409" s="332"/>
      <c r="AC409" s="332"/>
      <c r="AD409" s="720">
        <f>+AE409</f>
        <v>0</v>
      </c>
      <c r="AE409" s="909">
        <v>0</v>
      </c>
      <c r="AF409" s="909">
        <v>0</v>
      </c>
      <c r="AG409" s="909">
        <v>0</v>
      </c>
      <c r="AH409" s="713" t="s">
        <v>665</v>
      </c>
      <c r="AI409" s="713" t="s">
        <v>665</v>
      </c>
      <c r="AJ409" s="918" t="s">
        <v>94</v>
      </c>
      <c r="AK409" s="734"/>
      <c r="AL409" s="734"/>
      <c r="AM409" s="734"/>
      <c r="AN409" s="805" t="s">
        <v>94</v>
      </c>
      <c r="AO409" s="805"/>
      <c r="AP409" s="734"/>
      <c r="AQ409" s="805" t="s">
        <v>94</v>
      </c>
      <c r="AR409" s="805"/>
      <c r="AS409" s="713"/>
      <c r="AT409" s="190" t="s">
        <v>129</v>
      </c>
      <c r="AU409" s="203">
        <f t="shared" ref="AU409:BB409" si="323">+V411*$J$409</f>
        <v>0</v>
      </c>
      <c r="AV409" s="203">
        <f t="shared" si="323"/>
        <v>0</v>
      </c>
      <c r="AW409" s="203">
        <f t="shared" si="323"/>
        <v>0</v>
      </c>
      <c r="AX409" s="203">
        <f t="shared" si="323"/>
        <v>0</v>
      </c>
      <c r="AY409" s="203">
        <f t="shared" si="323"/>
        <v>0</v>
      </c>
      <c r="AZ409" s="203">
        <f t="shared" si="323"/>
        <v>0</v>
      </c>
      <c r="BA409" s="203">
        <f t="shared" si="323"/>
        <v>0</v>
      </c>
      <c r="BB409" s="203">
        <f t="shared" si="323"/>
        <v>0</v>
      </c>
      <c r="BC409" s="566">
        <f>+BB411</f>
        <v>0</v>
      </c>
      <c r="BD409" s="608">
        <f>+BC409+BC430</f>
        <v>0</v>
      </c>
      <c r="BE409" s="117"/>
      <c r="BF409" s="118"/>
    </row>
    <row r="410" spans="1:60" s="120" customFormat="1" ht="35.1" customHeight="1" thickBot="1" x14ac:dyDescent="0.3">
      <c r="A410" s="675"/>
      <c r="B410" s="664"/>
      <c r="C410" s="665"/>
      <c r="D410" s="922"/>
      <c r="E410" s="913"/>
      <c r="F410" s="916"/>
      <c r="G410" s="759"/>
      <c r="H410" s="759"/>
      <c r="I410" s="723"/>
      <c r="J410" s="759"/>
      <c r="K410" s="723"/>
      <c r="L410" s="723"/>
      <c r="M410" s="733"/>
      <c r="N410" s="723"/>
      <c r="O410" s="723"/>
      <c r="P410" s="759"/>
      <c r="Q410" s="759"/>
      <c r="R410" s="759"/>
      <c r="S410" s="759"/>
      <c r="T410" s="765"/>
      <c r="U410" s="224" t="s">
        <v>666</v>
      </c>
      <c r="V410" s="219">
        <v>31764</v>
      </c>
      <c r="W410" s="219">
        <v>30843</v>
      </c>
      <c r="X410" s="219">
        <v>0.01</v>
      </c>
      <c r="Y410" s="219">
        <v>0.01</v>
      </c>
      <c r="Z410" s="219">
        <f>+V410</f>
        <v>31764</v>
      </c>
      <c r="AA410" s="219">
        <f>+V410+W410</f>
        <v>62607</v>
      </c>
      <c r="AB410" s="219">
        <f>+V410+W410+X410</f>
        <v>62607.01</v>
      </c>
      <c r="AC410" s="219">
        <f>+V410+W410+X410+Y410</f>
        <v>62607.020000000004</v>
      </c>
      <c r="AD410" s="720"/>
      <c r="AE410" s="910"/>
      <c r="AF410" s="910"/>
      <c r="AG410" s="910"/>
      <c r="AH410" s="714"/>
      <c r="AI410" s="714"/>
      <c r="AJ410" s="919"/>
      <c r="AK410" s="734"/>
      <c r="AL410" s="734"/>
      <c r="AM410" s="734"/>
      <c r="AN410" s="806"/>
      <c r="AO410" s="806"/>
      <c r="AP410" s="734"/>
      <c r="AQ410" s="806"/>
      <c r="AR410" s="806"/>
      <c r="AS410" s="714"/>
      <c r="AT410" s="190" t="s">
        <v>131</v>
      </c>
      <c r="AU410" s="203">
        <f>+(AU409+AU412+AU415+AU418)*$H$409</f>
        <v>0</v>
      </c>
      <c r="AV410" s="203">
        <f t="shared" ref="AV410:BB410" si="324">+(AV409+AV412+AV415+AV418)*$H$409</f>
        <v>0</v>
      </c>
      <c r="AW410" s="203">
        <f t="shared" si="324"/>
        <v>0</v>
      </c>
      <c r="AX410" s="203">
        <f t="shared" si="324"/>
        <v>0</v>
      </c>
      <c r="AY410" s="203">
        <f t="shared" si="324"/>
        <v>0</v>
      </c>
      <c r="AZ410" s="203">
        <f t="shared" si="324"/>
        <v>0</v>
      </c>
      <c r="BA410" s="203">
        <f t="shared" si="324"/>
        <v>0</v>
      </c>
      <c r="BB410" s="265">
        <f t="shared" si="324"/>
        <v>0</v>
      </c>
      <c r="BC410" s="567"/>
      <c r="BD410" s="609"/>
      <c r="BE410" s="117"/>
      <c r="BF410" s="118"/>
    </row>
    <row r="411" spans="1:60" s="120" customFormat="1" ht="24.95" customHeight="1" thickBot="1" x14ac:dyDescent="0.3">
      <c r="A411" s="675"/>
      <c r="B411" s="664"/>
      <c r="C411" s="665"/>
      <c r="D411" s="922"/>
      <c r="E411" s="913"/>
      <c r="F411" s="916"/>
      <c r="G411" s="759"/>
      <c r="H411" s="759"/>
      <c r="I411" s="724"/>
      <c r="J411" s="760"/>
      <c r="K411" s="724"/>
      <c r="L411" s="724"/>
      <c r="M411" s="733"/>
      <c r="N411" s="724"/>
      <c r="O411" s="724"/>
      <c r="P411" s="760"/>
      <c r="Q411" s="760"/>
      <c r="R411" s="760"/>
      <c r="S411" s="760"/>
      <c r="T411" s="766"/>
      <c r="U411" s="172" t="s">
        <v>96</v>
      </c>
      <c r="V411" s="123">
        <f t="shared" ref="V411:AC411" si="325">IF((V409/V410)&lt;$I$8,(V409/V410),IF((V409/V410)&lt;$J$8,(V409/V410),IF((V409/V410)&lt;$J$9,(V409/V410),IF((V409/V410)&gt;=$J$9,$J$9))))</f>
        <v>0</v>
      </c>
      <c r="W411" s="123">
        <f t="shared" si="325"/>
        <v>0</v>
      </c>
      <c r="X411" s="123">
        <f t="shared" si="325"/>
        <v>0</v>
      </c>
      <c r="Y411" s="123">
        <f t="shared" si="325"/>
        <v>0</v>
      </c>
      <c r="Z411" s="123">
        <f t="shared" si="325"/>
        <v>0</v>
      </c>
      <c r="AA411" s="123">
        <f t="shared" si="325"/>
        <v>0</v>
      </c>
      <c r="AB411" s="123">
        <f t="shared" si="325"/>
        <v>0</v>
      </c>
      <c r="AC411" s="123">
        <f t="shared" si="325"/>
        <v>0</v>
      </c>
      <c r="AD411" s="720"/>
      <c r="AE411" s="911"/>
      <c r="AF411" s="911"/>
      <c r="AG411" s="911"/>
      <c r="AH411" s="715"/>
      <c r="AI411" s="715"/>
      <c r="AJ411" s="920"/>
      <c r="AK411" s="734"/>
      <c r="AL411" s="734"/>
      <c r="AM411" s="734"/>
      <c r="AN411" s="807"/>
      <c r="AO411" s="807"/>
      <c r="AP411" s="734"/>
      <c r="AQ411" s="807"/>
      <c r="AR411" s="807"/>
      <c r="AS411" s="715"/>
      <c r="AT411" s="190" t="s">
        <v>132</v>
      </c>
      <c r="AU411" s="203">
        <f>+(AU410+AU422+AU425+AU428)*$F$409</f>
        <v>0</v>
      </c>
      <c r="AV411" s="203">
        <f t="shared" ref="AV411:BB411" si="326">+(AV410+AV422+AV425+AV428)*$F$409</f>
        <v>0</v>
      </c>
      <c r="AW411" s="203">
        <f t="shared" si="326"/>
        <v>0</v>
      </c>
      <c r="AX411" s="203">
        <f t="shared" si="326"/>
        <v>0</v>
      </c>
      <c r="AY411" s="203">
        <f t="shared" si="326"/>
        <v>0</v>
      </c>
      <c r="AZ411" s="203">
        <f t="shared" si="326"/>
        <v>0</v>
      </c>
      <c r="BA411" s="204">
        <f t="shared" si="326"/>
        <v>0</v>
      </c>
      <c r="BB411" s="127">
        <f t="shared" si="326"/>
        <v>0</v>
      </c>
      <c r="BC411" s="567"/>
      <c r="BD411" s="609"/>
      <c r="BE411" s="117"/>
      <c r="BF411" s="118"/>
    </row>
    <row r="412" spans="1:60" s="120" customFormat="1" ht="35.1" customHeight="1" x14ac:dyDescent="0.25">
      <c r="A412" s="675"/>
      <c r="B412" s="664"/>
      <c r="C412" s="665">
        <v>2</v>
      </c>
      <c r="D412" s="922"/>
      <c r="E412" s="913"/>
      <c r="F412" s="916"/>
      <c r="G412" s="759"/>
      <c r="H412" s="759"/>
      <c r="I412" s="722" t="s">
        <v>667</v>
      </c>
      <c r="J412" s="758">
        <v>0.15</v>
      </c>
      <c r="K412" s="722" t="s">
        <v>668</v>
      </c>
      <c r="L412" s="722" t="s">
        <v>669</v>
      </c>
      <c r="M412" s="733" t="str">
        <f>CONCATENATE(U412,$U$32,U413)</f>
        <v>No de bienes que reportan salida del Almacén y su ubicación / No de bienes ingresados al almacén</v>
      </c>
      <c r="N412" s="722" t="s">
        <v>670</v>
      </c>
      <c r="O412" s="722" t="s">
        <v>89</v>
      </c>
      <c r="P412" s="758">
        <v>0.05</v>
      </c>
      <c r="Q412" s="758">
        <v>0</v>
      </c>
      <c r="R412" s="758">
        <v>1</v>
      </c>
      <c r="S412" s="758">
        <v>1</v>
      </c>
      <c r="T412" s="764" t="s">
        <v>151</v>
      </c>
      <c r="U412" s="164" t="s">
        <v>671</v>
      </c>
      <c r="V412" s="344"/>
      <c r="W412" s="331"/>
      <c r="X412" s="331"/>
      <c r="Y412" s="331"/>
      <c r="Z412" s="332"/>
      <c r="AA412" s="332"/>
      <c r="AB412" s="332"/>
      <c r="AC412" s="332"/>
      <c r="AD412" s="720">
        <f>+AE412</f>
        <v>0</v>
      </c>
      <c r="AE412" s="909">
        <v>0</v>
      </c>
      <c r="AF412" s="909">
        <v>0</v>
      </c>
      <c r="AG412" s="909">
        <v>0</v>
      </c>
      <c r="AH412" s="713" t="s">
        <v>665</v>
      </c>
      <c r="AI412" s="713" t="s">
        <v>665</v>
      </c>
      <c r="AJ412" s="918" t="s">
        <v>94</v>
      </c>
      <c r="AK412" s="734"/>
      <c r="AL412" s="734"/>
      <c r="AM412" s="734"/>
      <c r="AN412" s="805" t="s">
        <v>94</v>
      </c>
      <c r="AO412" s="805"/>
      <c r="AP412" s="734"/>
      <c r="AQ412" s="805" t="s">
        <v>94</v>
      </c>
      <c r="AR412" s="805"/>
      <c r="AS412" s="713"/>
      <c r="AT412" s="190" t="s">
        <v>129</v>
      </c>
      <c r="AU412" s="203">
        <f t="shared" ref="AU412:BB412" si="327">+V414*$J$412</f>
        <v>0</v>
      </c>
      <c r="AV412" s="203">
        <f t="shared" si="327"/>
        <v>0</v>
      </c>
      <c r="AW412" s="203">
        <f t="shared" si="327"/>
        <v>0</v>
      </c>
      <c r="AX412" s="203">
        <f t="shared" si="327"/>
        <v>0</v>
      </c>
      <c r="AY412" s="203">
        <f t="shared" si="327"/>
        <v>0</v>
      </c>
      <c r="AZ412" s="203">
        <f t="shared" si="327"/>
        <v>0</v>
      </c>
      <c r="BA412" s="203">
        <f t="shared" si="327"/>
        <v>0</v>
      </c>
      <c r="BB412" s="267">
        <f t="shared" si="327"/>
        <v>0</v>
      </c>
      <c r="BC412" s="567"/>
      <c r="BD412" s="609"/>
      <c r="BE412" s="117"/>
      <c r="BF412" s="118"/>
    </row>
    <row r="413" spans="1:60" s="120" customFormat="1" ht="35.1" customHeight="1" x14ac:dyDescent="0.25">
      <c r="A413" s="675"/>
      <c r="B413" s="664"/>
      <c r="C413" s="665"/>
      <c r="D413" s="922"/>
      <c r="E413" s="913"/>
      <c r="F413" s="916"/>
      <c r="G413" s="759"/>
      <c r="H413" s="759"/>
      <c r="I413" s="723"/>
      <c r="J413" s="759"/>
      <c r="K413" s="723"/>
      <c r="L413" s="723"/>
      <c r="M413" s="733"/>
      <c r="N413" s="723"/>
      <c r="O413" s="723"/>
      <c r="P413" s="759"/>
      <c r="Q413" s="759"/>
      <c r="R413" s="759"/>
      <c r="S413" s="759"/>
      <c r="T413" s="765"/>
      <c r="U413" s="224" t="s">
        <v>672</v>
      </c>
      <c r="V413" s="219">
        <v>2</v>
      </c>
      <c r="W413" s="219">
        <v>16</v>
      </c>
      <c r="X413" s="219">
        <v>0.01</v>
      </c>
      <c r="Y413" s="219">
        <v>0.01</v>
      </c>
      <c r="Z413" s="219">
        <f>+V413</f>
        <v>2</v>
      </c>
      <c r="AA413" s="219">
        <f>+V413+W413</f>
        <v>18</v>
      </c>
      <c r="AB413" s="219">
        <f>+V413+W413+X413</f>
        <v>18.010000000000002</v>
      </c>
      <c r="AC413" s="219">
        <f>+V413+W413+X413+Y413</f>
        <v>18.020000000000003</v>
      </c>
      <c r="AD413" s="720"/>
      <c r="AE413" s="910"/>
      <c r="AF413" s="910"/>
      <c r="AG413" s="910"/>
      <c r="AH413" s="714"/>
      <c r="AI413" s="714"/>
      <c r="AJ413" s="919"/>
      <c r="AK413" s="734"/>
      <c r="AL413" s="734"/>
      <c r="AM413" s="734"/>
      <c r="AN413" s="806"/>
      <c r="AO413" s="806"/>
      <c r="AP413" s="734"/>
      <c r="AQ413" s="806"/>
      <c r="AR413" s="806"/>
      <c r="AS413" s="714"/>
      <c r="AT413" s="190" t="s">
        <v>131</v>
      </c>
      <c r="AU413" s="575"/>
      <c r="AV413" s="576"/>
      <c r="AW413" s="576"/>
      <c r="AX413" s="576"/>
      <c r="AY413" s="576"/>
      <c r="AZ413" s="576"/>
      <c r="BA413" s="576"/>
      <c r="BB413" s="577"/>
      <c r="BC413" s="567"/>
      <c r="BD413" s="609"/>
      <c r="BE413" s="117"/>
      <c r="BF413" s="118"/>
    </row>
    <row r="414" spans="1:60" s="120" customFormat="1" ht="24.95" customHeight="1" x14ac:dyDescent="0.25">
      <c r="A414" s="675"/>
      <c r="B414" s="664"/>
      <c r="C414" s="665"/>
      <c r="D414" s="922"/>
      <c r="E414" s="913"/>
      <c r="F414" s="916"/>
      <c r="G414" s="759"/>
      <c r="H414" s="759"/>
      <c r="I414" s="724"/>
      <c r="J414" s="760"/>
      <c r="K414" s="724"/>
      <c r="L414" s="724"/>
      <c r="M414" s="733"/>
      <c r="N414" s="724"/>
      <c r="O414" s="724"/>
      <c r="P414" s="760"/>
      <c r="Q414" s="760"/>
      <c r="R414" s="760"/>
      <c r="S414" s="760"/>
      <c r="T414" s="766"/>
      <c r="U414" s="172" t="s">
        <v>96</v>
      </c>
      <c r="V414" s="123">
        <f t="shared" ref="V414:AC414" si="328">IF((V412/V413)&lt;$I$8,(V412/V413),IF((V412/V413)&lt;$J$8,(V412/V413),IF((V412/V413)&lt;$J$9,(V412/V413),IF((V412/V413)&gt;=$J$9,$J$9))))</f>
        <v>0</v>
      </c>
      <c r="W414" s="123">
        <f t="shared" si="328"/>
        <v>0</v>
      </c>
      <c r="X414" s="123">
        <f t="shared" si="328"/>
        <v>0</v>
      </c>
      <c r="Y414" s="123">
        <f t="shared" si="328"/>
        <v>0</v>
      </c>
      <c r="Z414" s="123">
        <f t="shared" si="328"/>
        <v>0</v>
      </c>
      <c r="AA414" s="123">
        <f t="shared" si="328"/>
        <v>0</v>
      </c>
      <c r="AB414" s="123">
        <f t="shared" si="328"/>
        <v>0</v>
      </c>
      <c r="AC414" s="123">
        <f t="shared" si="328"/>
        <v>0</v>
      </c>
      <c r="AD414" s="720"/>
      <c r="AE414" s="911"/>
      <c r="AF414" s="911"/>
      <c r="AG414" s="911"/>
      <c r="AH414" s="715"/>
      <c r="AI414" s="715"/>
      <c r="AJ414" s="920"/>
      <c r="AK414" s="734"/>
      <c r="AL414" s="734"/>
      <c r="AM414" s="734"/>
      <c r="AN414" s="807"/>
      <c r="AO414" s="807"/>
      <c r="AP414" s="734"/>
      <c r="AQ414" s="807"/>
      <c r="AR414" s="807"/>
      <c r="AS414" s="715"/>
      <c r="AT414" s="190" t="s">
        <v>132</v>
      </c>
      <c r="AU414" s="575"/>
      <c r="AV414" s="576"/>
      <c r="AW414" s="576"/>
      <c r="AX414" s="576"/>
      <c r="AY414" s="576"/>
      <c r="AZ414" s="576"/>
      <c r="BA414" s="576"/>
      <c r="BB414" s="577"/>
      <c r="BC414" s="567"/>
      <c r="BD414" s="609"/>
      <c r="BE414" s="117"/>
      <c r="BF414" s="118"/>
    </row>
    <row r="415" spans="1:60" s="120" customFormat="1" ht="35.1" customHeight="1" x14ac:dyDescent="0.25">
      <c r="A415" s="128"/>
      <c r="B415" s="664"/>
      <c r="C415" s="665">
        <v>3</v>
      </c>
      <c r="D415" s="922"/>
      <c r="E415" s="913"/>
      <c r="F415" s="916"/>
      <c r="G415" s="759"/>
      <c r="H415" s="759"/>
      <c r="I415" s="722" t="s">
        <v>673</v>
      </c>
      <c r="J415" s="758">
        <v>0.35</v>
      </c>
      <c r="K415" s="722" t="s">
        <v>674</v>
      </c>
      <c r="L415" s="722" t="s">
        <v>675</v>
      </c>
      <c r="M415" s="733" t="str">
        <f>CONCATENATE(U415,$U$32,U416)</f>
        <v>No de Procesos de contratación tramitados para revisión del comité estructurador en el trimestre / No. De procesos programados para  ser tramitados en el trimestre de acuerdo al PAA 2018</v>
      </c>
      <c r="N415" s="722" t="s">
        <v>676</v>
      </c>
      <c r="O415" s="722" t="s">
        <v>89</v>
      </c>
      <c r="P415" s="758">
        <v>0.1</v>
      </c>
      <c r="Q415" s="758">
        <v>1</v>
      </c>
      <c r="R415" s="758">
        <v>1</v>
      </c>
      <c r="S415" s="758">
        <v>1</v>
      </c>
      <c r="T415" s="764" t="s">
        <v>151</v>
      </c>
      <c r="U415" s="315" t="s">
        <v>677</v>
      </c>
      <c r="V415" s="315"/>
      <c r="W415" s="331"/>
      <c r="X415" s="331"/>
      <c r="Y415" s="331"/>
      <c r="Z415" s="332"/>
      <c r="AA415" s="332"/>
      <c r="AB415" s="332"/>
      <c r="AC415" s="332"/>
      <c r="AD415" s="720">
        <f>+AE415+AF415+AG415</f>
        <v>5346217249</v>
      </c>
      <c r="AE415" s="909">
        <f>3296464593+440557928</f>
        <v>3737022521</v>
      </c>
      <c r="AF415" s="909">
        <v>67000000</v>
      </c>
      <c r="AG415" s="909">
        <f>881357837+660836891</f>
        <v>1542194728</v>
      </c>
      <c r="AH415" s="713" t="s">
        <v>665</v>
      </c>
      <c r="AI415" s="713" t="s">
        <v>665</v>
      </c>
      <c r="AJ415" s="918" t="s">
        <v>94</v>
      </c>
      <c r="AK415" s="734"/>
      <c r="AL415" s="734"/>
      <c r="AM415" s="734"/>
      <c r="AN415" s="805" t="s">
        <v>94</v>
      </c>
      <c r="AO415" s="335"/>
      <c r="AP415" s="734"/>
      <c r="AQ415" s="805" t="s">
        <v>94</v>
      </c>
      <c r="AR415" s="335"/>
      <c r="AS415" s="345"/>
      <c r="AT415" s="190" t="s">
        <v>129</v>
      </c>
      <c r="AU415" s="203">
        <f t="shared" ref="AU415:BB415" si="329">+V417*$J$415</f>
        <v>0</v>
      </c>
      <c r="AV415" s="203">
        <f t="shared" si="329"/>
        <v>0</v>
      </c>
      <c r="AW415" s="203">
        <f t="shared" si="329"/>
        <v>0</v>
      </c>
      <c r="AX415" s="203">
        <f t="shared" si="329"/>
        <v>0</v>
      </c>
      <c r="AY415" s="203">
        <f t="shared" si="329"/>
        <v>0</v>
      </c>
      <c r="AZ415" s="203">
        <f t="shared" si="329"/>
        <v>0</v>
      </c>
      <c r="BA415" s="203">
        <f t="shared" si="329"/>
        <v>0</v>
      </c>
      <c r="BB415" s="203">
        <f t="shared" si="329"/>
        <v>0</v>
      </c>
      <c r="BC415" s="567"/>
      <c r="BD415" s="609"/>
      <c r="BE415" s="117"/>
      <c r="BF415" s="118"/>
    </row>
    <row r="416" spans="1:60" s="120" customFormat="1" ht="35.1" customHeight="1" x14ac:dyDescent="0.25">
      <c r="A416" s="128"/>
      <c r="B416" s="664"/>
      <c r="C416" s="665"/>
      <c r="D416" s="922"/>
      <c r="E416" s="913"/>
      <c r="F416" s="916"/>
      <c r="G416" s="759"/>
      <c r="H416" s="759"/>
      <c r="I416" s="723"/>
      <c r="J416" s="759"/>
      <c r="K416" s="723"/>
      <c r="L416" s="723"/>
      <c r="M416" s="733"/>
      <c r="N416" s="723"/>
      <c r="O416" s="723"/>
      <c r="P416" s="759"/>
      <c r="Q416" s="759"/>
      <c r="R416" s="759"/>
      <c r="S416" s="759"/>
      <c r="T416" s="765"/>
      <c r="U416" s="224" t="s">
        <v>678</v>
      </c>
      <c r="V416" s="219">
        <v>28</v>
      </c>
      <c r="W416" s="219">
        <v>6</v>
      </c>
      <c r="X416" s="219">
        <v>14</v>
      </c>
      <c r="Y416" s="219">
        <v>3</v>
      </c>
      <c r="Z416" s="219">
        <v>28</v>
      </c>
      <c r="AA416" s="219">
        <v>34</v>
      </c>
      <c r="AB416" s="219">
        <v>48</v>
      </c>
      <c r="AC416" s="219">
        <v>51</v>
      </c>
      <c r="AD416" s="720"/>
      <c r="AE416" s="910"/>
      <c r="AF416" s="910"/>
      <c r="AG416" s="910"/>
      <c r="AH416" s="714"/>
      <c r="AI416" s="714"/>
      <c r="AJ416" s="919"/>
      <c r="AK416" s="734"/>
      <c r="AL416" s="734"/>
      <c r="AM416" s="734"/>
      <c r="AN416" s="806"/>
      <c r="AO416" s="335"/>
      <c r="AP416" s="734"/>
      <c r="AQ416" s="806"/>
      <c r="AR416" s="335"/>
      <c r="AS416" s="345"/>
      <c r="AT416" s="190" t="s">
        <v>131</v>
      </c>
      <c r="AU416" s="575"/>
      <c r="AV416" s="576"/>
      <c r="AW416" s="576"/>
      <c r="AX416" s="576"/>
      <c r="AY416" s="576"/>
      <c r="AZ416" s="576"/>
      <c r="BA416" s="576"/>
      <c r="BB416" s="577"/>
      <c r="BC416" s="567"/>
      <c r="BD416" s="609"/>
      <c r="BE416" s="117"/>
      <c r="BF416" s="118"/>
    </row>
    <row r="417" spans="1:58" s="120" customFormat="1" ht="24.95" customHeight="1" x14ac:dyDescent="0.25">
      <c r="A417" s="128"/>
      <c r="B417" s="664"/>
      <c r="C417" s="665"/>
      <c r="D417" s="922"/>
      <c r="E417" s="913"/>
      <c r="F417" s="916"/>
      <c r="G417" s="759"/>
      <c r="H417" s="759"/>
      <c r="I417" s="724"/>
      <c r="J417" s="760"/>
      <c r="K417" s="724"/>
      <c r="L417" s="724"/>
      <c r="M417" s="733"/>
      <c r="N417" s="724"/>
      <c r="O417" s="724"/>
      <c r="P417" s="760"/>
      <c r="Q417" s="760"/>
      <c r="R417" s="760"/>
      <c r="S417" s="760"/>
      <c r="T417" s="766"/>
      <c r="U417" s="172" t="s">
        <v>96</v>
      </c>
      <c r="V417" s="123">
        <f t="shared" ref="V417:AC417" si="330">IF((V415/V416)&lt;$I$8,(V415/V416),IF((V415/V416)&lt;$J$8,(V415/V416),IF((V415/V416)&lt;$J$9,(V415/V416),IF((V415/V416)&gt;=$J$9,$J$9))))</f>
        <v>0</v>
      </c>
      <c r="W417" s="123">
        <f t="shared" si="330"/>
        <v>0</v>
      </c>
      <c r="X417" s="123">
        <f t="shared" si="330"/>
        <v>0</v>
      </c>
      <c r="Y417" s="123">
        <f t="shared" si="330"/>
        <v>0</v>
      </c>
      <c r="Z417" s="123">
        <f t="shared" si="330"/>
        <v>0</v>
      </c>
      <c r="AA417" s="123">
        <f t="shared" si="330"/>
        <v>0</v>
      </c>
      <c r="AB417" s="123">
        <f t="shared" si="330"/>
        <v>0</v>
      </c>
      <c r="AC417" s="123">
        <f t="shared" si="330"/>
        <v>0</v>
      </c>
      <c r="AD417" s="720"/>
      <c r="AE417" s="911"/>
      <c r="AF417" s="911"/>
      <c r="AG417" s="911"/>
      <c r="AH417" s="715"/>
      <c r="AI417" s="715"/>
      <c r="AJ417" s="920"/>
      <c r="AK417" s="734"/>
      <c r="AL417" s="734"/>
      <c r="AM417" s="734"/>
      <c r="AN417" s="807"/>
      <c r="AO417" s="335"/>
      <c r="AP417" s="734"/>
      <c r="AQ417" s="807"/>
      <c r="AR417" s="335"/>
      <c r="AS417" s="345"/>
      <c r="AT417" s="190" t="s">
        <v>132</v>
      </c>
      <c r="AU417" s="575"/>
      <c r="AV417" s="576"/>
      <c r="AW417" s="576"/>
      <c r="AX417" s="576"/>
      <c r="AY417" s="576"/>
      <c r="AZ417" s="576"/>
      <c r="BA417" s="576"/>
      <c r="BB417" s="577"/>
      <c r="BC417" s="567"/>
      <c r="BD417" s="609"/>
      <c r="BE417" s="117"/>
      <c r="BF417" s="118"/>
    </row>
    <row r="418" spans="1:58" s="120" customFormat="1" ht="35.1" customHeight="1" x14ac:dyDescent="0.25">
      <c r="A418" s="675"/>
      <c r="B418" s="664"/>
      <c r="C418" s="665">
        <v>4</v>
      </c>
      <c r="D418" s="922"/>
      <c r="E418" s="913"/>
      <c r="F418" s="916"/>
      <c r="G418" s="759"/>
      <c r="H418" s="759"/>
      <c r="I418" s="722" t="s">
        <v>679</v>
      </c>
      <c r="J418" s="758">
        <v>0.35</v>
      </c>
      <c r="K418" s="722" t="s">
        <v>680</v>
      </c>
      <c r="L418" s="722" t="s">
        <v>681</v>
      </c>
      <c r="M418" s="733" t="str">
        <f>CONCATENATE(U418,$U$32,U419)</f>
        <v xml:space="preserve">% PAC ejecutado  / %PAC programado </v>
      </c>
      <c r="N418" s="722" t="s">
        <v>682</v>
      </c>
      <c r="O418" s="722" t="s">
        <v>89</v>
      </c>
      <c r="P418" s="758">
        <v>0.1</v>
      </c>
      <c r="Q418" s="758">
        <v>1</v>
      </c>
      <c r="R418" s="758">
        <v>1</v>
      </c>
      <c r="S418" s="758">
        <v>1</v>
      </c>
      <c r="T418" s="764" t="s">
        <v>151</v>
      </c>
      <c r="U418" s="315" t="s">
        <v>683</v>
      </c>
      <c r="V418" s="346"/>
      <c r="W418" s="346"/>
      <c r="X418" s="347"/>
      <c r="Y418" s="347"/>
      <c r="Z418" s="332"/>
      <c r="AA418" s="332"/>
      <c r="AB418" s="332"/>
      <c r="AC418" s="332"/>
      <c r="AD418" s="720">
        <f>+AE418</f>
        <v>0</v>
      </c>
      <c r="AE418" s="720">
        <v>0</v>
      </c>
      <c r="AF418" s="720">
        <v>0</v>
      </c>
      <c r="AG418" s="720">
        <v>0</v>
      </c>
      <c r="AH418" s="713" t="s">
        <v>665</v>
      </c>
      <c r="AI418" s="713" t="s">
        <v>665</v>
      </c>
      <c r="AJ418" s="918" t="s">
        <v>94</v>
      </c>
      <c r="AK418" s="734"/>
      <c r="AL418" s="918"/>
      <c r="AM418" s="734"/>
      <c r="AN418" s="918" t="s">
        <v>94</v>
      </c>
      <c r="AO418" s="918"/>
      <c r="AP418" s="348"/>
      <c r="AQ418" s="918" t="s">
        <v>94</v>
      </c>
      <c r="AR418" s="713"/>
      <c r="AS418" s="713"/>
      <c r="AT418" s="190" t="s">
        <v>129</v>
      </c>
      <c r="AU418" s="203">
        <f t="shared" ref="AU418:BB418" si="331">+V420*$J$418</f>
        <v>0</v>
      </c>
      <c r="AV418" s="203">
        <f t="shared" si="331"/>
        <v>0</v>
      </c>
      <c r="AW418" s="203">
        <f t="shared" si="331"/>
        <v>0</v>
      </c>
      <c r="AX418" s="203">
        <f t="shared" si="331"/>
        <v>0</v>
      </c>
      <c r="AY418" s="203">
        <f t="shared" si="331"/>
        <v>0</v>
      </c>
      <c r="AZ418" s="203">
        <f t="shared" si="331"/>
        <v>0</v>
      </c>
      <c r="BA418" s="203">
        <f t="shared" si="331"/>
        <v>0</v>
      </c>
      <c r="BB418" s="203">
        <f t="shared" si="331"/>
        <v>0</v>
      </c>
      <c r="BC418" s="567"/>
      <c r="BD418" s="609"/>
      <c r="BE418" s="117"/>
      <c r="BF418" s="118"/>
    </row>
    <row r="419" spans="1:58" s="120" customFormat="1" ht="35.1" customHeight="1" x14ac:dyDescent="0.25">
      <c r="A419" s="675"/>
      <c r="B419" s="664"/>
      <c r="C419" s="665"/>
      <c r="D419" s="922"/>
      <c r="E419" s="913"/>
      <c r="F419" s="916"/>
      <c r="G419" s="759"/>
      <c r="H419" s="759"/>
      <c r="I419" s="723"/>
      <c r="J419" s="759"/>
      <c r="K419" s="723"/>
      <c r="L419" s="723"/>
      <c r="M419" s="733"/>
      <c r="N419" s="723"/>
      <c r="O419" s="723"/>
      <c r="P419" s="759"/>
      <c r="Q419" s="759"/>
      <c r="R419" s="759"/>
      <c r="S419" s="759"/>
      <c r="T419" s="765"/>
      <c r="U419" s="224" t="s">
        <v>684</v>
      </c>
      <c r="V419" s="349">
        <v>0.25</v>
      </c>
      <c r="W419" s="285">
        <v>0.25</v>
      </c>
      <c r="X419" s="285">
        <v>0.25</v>
      </c>
      <c r="Y419" s="285">
        <v>0.25</v>
      </c>
      <c r="Z419" s="285">
        <v>0.25</v>
      </c>
      <c r="AA419" s="228">
        <v>0.5</v>
      </c>
      <c r="AB419" s="228">
        <v>0.75</v>
      </c>
      <c r="AC419" s="228">
        <v>1</v>
      </c>
      <c r="AD419" s="720"/>
      <c r="AE419" s="720"/>
      <c r="AF419" s="720"/>
      <c r="AG419" s="720"/>
      <c r="AH419" s="714"/>
      <c r="AI419" s="714"/>
      <c r="AJ419" s="919"/>
      <c r="AK419" s="734"/>
      <c r="AL419" s="919"/>
      <c r="AM419" s="734"/>
      <c r="AN419" s="919"/>
      <c r="AO419" s="919"/>
      <c r="AP419" s="350"/>
      <c r="AQ419" s="919"/>
      <c r="AR419" s="714"/>
      <c r="AS419" s="714"/>
      <c r="AT419" s="190" t="s">
        <v>131</v>
      </c>
      <c r="AU419" s="575"/>
      <c r="AV419" s="576"/>
      <c r="AW419" s="576"/>
      <c r="AX419" s="576"/>
      <c r="AY419" s="576"/>
      <c r="AZ419" s="576"/>
      <c r="BA419" s="576"/>
      <c r="BB419" s="577"/>
      <c r="BC419" s="567"/>
      <c r="BD419" s="609"/>
      <c r="BE419" s="117"/>
      <c r="BF419" s="118"/>
    </row>
    <row r="420" spans="1:58" s="120" customFormat="1" ht="24.95" customHeight="1" x14ac:dyDescent="0.25">
      <c r="A420" s="675"/>
      <c r="B420" s="664"/>
      <c r="C420" s="665"/>
      <c r="D420" s="922"/>
      <c r="E420" s="913"/>
      <c r="F420" s="916"/>
      <c r="G420" s="759"/>
      <c r="H420" s="759"/>
      <c r="I420" s="724"/>
      <c r="J420" s="760"/>
      <c r="K420" s="724"/>
      <c r="L420" s="724"/>
      <c r="M420" s="733"/>
      <c r="N420" s="724"/>
      <c r="O420" s="724"/>
      <c r="P420" s="760"/>
      <c r="Q420" s="760"/>
      <c r="R420" s="760"/>
      <c r="S420" s="760"/>
      <c r="T420" s="766"/>
      <c r="U420" s="170" t="s">
        <v>96</v>
      </c>
      <c r="V420" s="221">
        <f t="shared" ref="V420:AC420" si="332">IF((V418/V419)&lt;$I$8,(V418/V419),IF((V418/V419)&lt;$J$8,(V418/V419),IF((V418/V419)&lt;$J$9,(V418/V419),IF((V418/V419)&gt;=$J$9,$J$9))))</f>
        <v>0</v>
      </c>
      <c r="W420" s="221">
        <f t="shared" si="332"/>
        <v>0</v>
      </c>
      <c r="X420" s="221">
        <f t="shared" si="332"/>
        <v>0</v>
      </c>
      <c r="Y420" s="221">
        <f t="shared" si="332"/>
        <v>0</v>
      </c>
      <c r="Z420" s="221">
        <f t="shared" si="332"/>
        <v>0</v>
      </c>
      <c r="AA420" s="221">
        <f t="shared" si="332"/>
        <v>0</v>
      </c>
      <c r="AB420" s="221">
        <f t="shared" si="332"/>
        <v>0</v>
      </c>
      <c r="AC420" s="221">
        <f t="shared" si="332"/>
        <v>0</v>
      </c>
      <c r="AD420" s="720"/>
      <c r="AE420" s="720"/>
      <c r="AF420" s="720"/>
      <c r="AG420" s="720"/>
      <c r="AH420" s="715"/>
      <c r="AI420" s="715"/>
      <c r="AJ420" s="920"/>
      <c r="AK420" s="734"/>
      <c r="AL420" s="920"/>
      <c r="AM420" s="734"/>
      <c r="AN420" s="920"/>
      <c r="AO420" s="920"/>
      <c r="AP420" s="351"/>
      <c r="AQ420" s="920"/>
      <c r="AR420" s="715"/>
      <c r="AS420" s="715"/>
      <c r="AT420" s="190" t="s">
        <v>132</v>
      </c>
      <c r="AU420" s="575"/>
      <c r="AV420" s="576"/>
      <c r="AW420" s="576"/>
      <c r="AX420" s="576"/>
      <c r="AY420" s="576"/>
      <c r="AZ420" s="576"/>
      <c r="BA420" s="576"/>
      <c r="BB420" s="577"/>
      <c r="BC420" s="567"/>
      <c r="BD420" s="609"/>
      <c r="BE420" s="117"/>
      <c r="BF420" s="118"/>
    </row>
    <row r="421" spans="1:58" s="120" customFormat="1" ht="35.1" customHeight="1" x14ac:dyDescent="0.25">
      <c r="A421" s="675"/>
      <c r="B421" s="664"/>
      <c r="C421" s="665">
        <v>5</v>
      </c>
      <c r="D421" s="922"/>
      <c r="E421" s="913"/>
      <c r="F421" s="916"/>
      <c r="G421" s="758" t="s">
        <v>685</v>
      </c>
      <c r="H421" s="758">
        <v>0.4</v>
      </c>
      <c r="I421" s="722" t="s">
        <v>686</v>
      </c>
      <c r="J421" s="758">
        <v>1</v>
      </c>
      <c r="K421" s="722" t="s">
        <v>687</v>
      </c>
      <c r="L421" s="722" t="s">
        <v>688</v>
      </c>
      <c r="M421" s="733" t="str">
        <f>CONCATENATE(U421,$S$32,U422)</f>
        <v xml:space="preserve">No. de sedes a las cuales se reealizó Mantenimiento PreventivoNo. De sedes programadas para mantenimiento </v>
      </c>
      <c r="N421" s="722" t="s">
        <v>689</v>
      </c>
      <c r="O421" s="722" t="s">
        <v>89</v>
      </c>
      <c r="P421" s="758">
        <v>0.15</v>
      </c>
      <c r="Q421" s="758">
        <v>1</v>
      </c>
      <c r="R421" s="758">
        <v>1</v>
      </c>
      <c r="S421" s="758">
        <v>1</v>
      </c>
      <c r="T421" s="764" t="s">
        <v>151</v>
      </c>
      <c r="U421" s="315" t="s">
        <v>690</v>
      </c>
      <c r="V421" s="315"/>
      <c r="W421" s="315"/>
      <c r="X421" s="315"/>
      <c r="Y421" s="315"/>
      <c r="Z421" s="332"/>
      <c r="AA421" s="332"/>
      <c r="AB421" s="332"/>
      <c r="AC421" s="332"/>
      <c r="AD421" s="720">
        <f>+AE421+AF421+AG421</f>
        <v>1483200000</v>
      </c>
      <c r="AE421" s="720">
        <v>55000000</v>
      </c>
      <c r="AF421" s="720">
        <v>0</v>
      </c>
      <c r="AG421" s="720">
        <v>1428200000</v>
      </c>
      <c r="AH421" s="713" t="s">
        <v>665</v>
      </c>
      <c r="AI421" s="713" t="s">
        <v>665</v>
      </c>
      <c r="AJ421" s="918" t="s">
        <v>94</v>
      </c>
      <c r="AK421" s="734"/>
      <c r="AL421" s="734"/>
      <c r="AM421" s="734"/>
      <c r="AN421" s="918" t="s">
        <v>94</v>
      </c>
      <c r="AO421" s="918"/>
      <c r="AP421" s="734"/>
      <c r="AQ421" s="918" t="s">
        <v>94</v>
      </c>
      <c r="AR421" s="918"/>
      <c r="AS421" s="713"/>
      <c r="AT421" s="190" t="s">
        <v>129</v>
      </c>
      <c r="AU421" s="203">
        <f t="shared" ref="AU421:BB421" si="333">+V423*$J$421</f>
        <v>0</v>
      </c>
      <c r="AV421" s="203">
        <f t="shared" si="333"/>
        <v>0</v>
      </c>
      <c r="AW421" s="203">
        <f t="shared" si="333"/>
        <v>0</v>
      </c>
      <c r="AX421" s="131">
        <f t="shared" si="333"/>
        <v>0</v>
      </c>
      <c r="AY421" s="203">
        <f t="shared" si="333"/>
        <v>0</v>
      </c>
      <c r="AZ421" s="203">
        <f t="shared" si="333"/>
        <v>0</v>
      </c>
      <c r="BA421" s="203">
        <f t="shared" si="333"/>
        <v>0</v>
      </c>
      <c r="BB421" s="131">
        <f t="shared" si="333"/>
        <v>0</v>
      </c>
      <c r="BC421" s="567"/>
      <c r="BD421" s="609"/>
      <c r="BE421" s="117"/>
      <c r="BF421" s="118"/>
    </row>
    <row r="422" spans="1:58" s="120" customFormat="1" ht="35.1" customHeight="1" x14ac:dyDescent="0.25">
      <c r="A422" s="675"/>
      <c r="B422" s="664"/>
      <c r="C422" s="665"/>
      <c r="D422" s="922"/>
      <c r="E422" s="913"/>
      <c r="F422" s="916"/>
      <c r="G422" s="759"/>
      <c r="H422" s="759"/>
      <c r="I422" s="723"/>
      <c r="J422" s="759"/>
      <c r="K422" s="723"/>
      <c r="L422" s="723"/>
      <c r="M422" s="733"/>
      <c r="N422" s="723"/>
      <c r="O422" s="723"/>
      <c r="P422" s="759"/>
      <c r="Q422" s="759"/>
      <c r="R422" s="759"/>
      <c r="S422" s="759"/>
      <c r="T422" s="765"/>
      <c r="U422" s="224" t="s">
        <v>691</v>
      </c>
      <c r="V422" s="219">
        <v>8</v>
      </c>
      <c r="W422" s="219">
        <v>6</v>
      </c>
      <c r="X422" s="219">
        <v>9</v>
      </c>
      <c r="Y422" s="219">
        <v>0.01</v>
      </c>
      <c r="Z422" s="219">
        <v>8</v>
      </c>
      <c r="AA422" s="219">
        <v>14</v>
      </c>
      <c r="AB422" s="219">
        <v>23</v>
      </c>
      <c r="AC422" s="219">
        <v>23</v>
      </c>
      <c r="AD422" s="720"/>
      <c r="AE422" s="720"/>
      <c r="AF422" s="720"/>
      <c r="AG422" s="720"/>
      <c r="AH422" s="714"/>
      <c r="AI422" s="714"/>
      <c r="AJ422" s="919"/>
      <c r="AK422" s="734"/>
      <c r="AL422" s="734"/>
      <c r="AM422" s="734"/>
      <c r="AN422" s="919"/>
      <c r="AO422" s="919"/>
      <c r="AP422" s="734"/>
      <c r="AQ422" s="919"/>
      <c r="AR422" s="919"/>
      <c r="AS422" s="714"/>
      <c r="AT422" s="190" t="s">
        <v>131</v>
      </c>
      <c r="AU422" s="203">
        <f>+AU421*$H$421</f>
        <v>0</v>
      </c>
      <c r="AV422" s="203">
        <f t="shared" ref="AV422:BB422" si="334">+AV421*$H$421</f>
        <v>0</v>
      </c>
      <c r="AW422" s="203">
        <f t="shared" si="334"/>
        <v>0</v>
      </c>
      <c r="AX422" s="203">
        <f t="shared" si="334"/>
        <v>0</v>
      </c>
      <c r="AY422" s="203">
        <f t="shared" si="334"/>
        <v>0</v>
      </c>
      <c r="AZ422" s="203">
        <f t="shared" si="334"/>
        <v>0</v>
      </c>
      <c r="BA422" s="203">
        <f t="shared" si="334"/>
        <v>0</v>
      </c>
      <c r="BB422" s="203">
        <f t="shared" si="334"/>
        <v>0</v>
      </c>
      <c r="BC422" s="567"/>
      <c r="BD422" s="609"/>
      <c r="BE422" s="117"/>
      <c r="BF422" s="118"/>
    </row>
    <row r="423" spans="1:58" s="120" customFormat="1" ht="24.95" customHeight="1" x14ac:dyDescent="0.25">
      <c r="A423" s="675"/>
      <c r="B423" s="664"/>
      <c r="C423" s="665"/>
      <c r="D423" s="922"/>
      <c r="E423" s="913"/>
      <c r="F423" s="916"/>
      <c r="G423" s="760"/>
      <c r="H423" s="760"/>
      <c r="I423" s="724"/>
      <c r="J423" s="760"/>
      <c r="K423" s="724"/>
      <c r="L423" s="724"/>
      <c r="M423" s="733"/>
      <c r="N423" s="724"/>
      <c r="O423" s="724"/>
      <c r="P423" s="760"/>
      <c r="Q423" s="760"/>
      <c r="R423" s="760"/>
      <c r="S423" s="760"/>
      <c r="T423" s="766"/>
      <c r="U423" s="170" t="s">
        <v>96</v>
      </c>
      <c r="V423" s="221">
        <f t="shared" ref="V423:AC423" si="335">IF((V421/V422)&lt;$I$8,(V421/V422),IF((V421/V422)&lt;$J$8,(V421/V422),IF((V421/V422)&lt;$J$9,(V421/V422),IF((V421/V422)&gt;=$J$9,$J$9))))</f>
        <v>0</v>
      </c>
      <c r="W423" s="221">
        <f t="shared" si="335"/>
        <v>0</v>
      </c>
      <c r="X423" s="221">
        <f t="shared" si="335"/>
        <v>0</v>
      </c>
      <c r="Y423" s="197">
        <f t="shared" si="335"/>
        <v>0</v>
      </c>
      <c r="Z423" s="221">
        <f t="shared" si="335"/>
        <v>0</v>
      </c>
      <c r="AA423" s="221">
        <f t="shared" si="335"/>
        <v>0</v>
      </c>
      <c r="AB423" s="221">
        <f t="shared" si="335"/>
        <v>0</v>
      </c>
      <c r="AC423" s="197">
        <f t="shared" si="335"/>
        <v>0</v>
      </c>
      <c r="AD423" s="720"/>
      <c r="AE423" s="720"/>
      <c r="AF423" s="720"/>
      <c r="AG423" s="720"/>
      <c r="AH423" s="715"/>
      <c r="AI423" s="715"/>
      <c r="AJ423" s="920"/>
      <c r="AK423" s="734"/>
      <c r="AL423" s="734"/>
      <c r="AM423" s="734"/>
      <c r="AN423" s="920"/>
      <c r="AO423" s="920"/>
      <c r="AP423" s="734"/>
      <c r="AQ423" s="920"/>
      <c r="AR423" s="920"/>
      <c r="AS423" s="715"/>
      <c r="AT423" s="190" t="s">
        <v>132</v>
      </c>
      <c r="AU423" s="575"/>
      <c r="AV423" s="576"/>
      <c r="AW423" s="576"/>
      <c r="AX423" s="576"/>
      <c r="AY423" s="576"/>
      <c r="AZ423" s="576"/>
      <c r="BA423" s="576"/>
      <c r="BB423" s="577"/>
      <c r="BC423" s="567"/>
      <c r="BD423" s="609"/>
      <c r="BE423" s="117"/>
      <c r="BF423" s="118"/>
    </row>
    <row r="424" spans="1:58" s="120" customFormat="1" ht="35.1" customHeight="1" x14ac:dyDescent="0.25">
      <c r="A424" s="675"/>
      <c r="B424" s="664"/>
      <c r="C424" s="665">
        <v>6</v>
      </c>
      <c r="D424" s="922"/>
      <c r="E424" s="913"/>
      <c r="F424" s="916"/>
      <c r="G424" s="758" t="s">
        <v>692</v>
      </c>
      <c r="H424" s="758">
        <v>0.05</v>
      </c>
      <c r="I424" s="549" t="s">
        <v>693</v>
      </c>
      <c r="J424" s="758">
        <v>1</v>
      </c>
      <c r="K424" s="733" t="s">
        <v>330</v>
      </c>
      <c r="L424" s="733" t="s">
        <v>694</v>
      </c>
      <c r="M424" s="733" t="str">
        <f>CONCATENATE(U424,$S$32,U425)</f>
        <v>% ejecucion Presupuestal de inversion y funcionamiento (SIIF)% de programacion presupuestal de Inversion y Funcionamiento (Plan Anual de adquisiciones)</v>
      </c>
      <c r="N424" s="722" t="s">
        <v>695</v>
      </c>
      <c r="O424" s="722" t="s">
        <v>89</v>
      </c>
      <c r="P424" s="719">
        <v>0.05</v>
      </c>
      <c r="Q424" s="719">
        <v>0.92500000000000004</v>
      </c>
      <c r="R424" s="758">
        <v>1</v>
      </c>
      <c r="S424" s="758">
        <v>1</v>
      </c>
      <c r="T424" s="764" t="s">
        <v>151</v>
      </c>
      <c r="U424" s="164" t="s">
        <v>696</v>
      </c>
      <c r="V424" s="346"/>
      <c r="W424" s="346"/>
      <c r="X424" s="352"/>
      <c r="Y424" s="352"/>
      <c r="Z424" s="353"/>
      <c r="AA424" s="353"/>
      <c r="AB424" s="322"/>
      <c r="AC424" s="322"/>
      <c r="AD424" s="906">
        <f>+AE424+AF424+AG424</f>
        <v>14622117264</v>
      </c>
      <c r="AE424" s="909">
        <f>11895284015+440557928</f>
        <v>12335841943</v>
      </c>
      <c r="AF424" s="909">
        <v>67000000</v>
      </c>
      <c r="AG424" s="909">
        <f>1558438430+660836891</f>
        <v>2219275321</v>
      </c>
      <c r="AH424" s="713" t="s">
        <v>665</v>
      </c>
      <c r="AI424" s="713" t="s">
        <v>697</v>
      </c>
      <c r="AJ424" s="713" t="s">
        <v>94</v>
      </c>
      <c r="AK424" s="734"/>
      <c r="AL424" s="734"/>
      <c r="AM424" s="734"/>
      <c r="AN424" s="805" t="s">
        <v>94</v>
      </c>
      <c r="AO424" s="734"/>
      <c r="AP424" s="734"/>
      <c r="AQ424" s="805" t="s">
        <v>94</v>
      </c>
      <c r="AR424" s="335"/>
      <c r="AS424" s="345"/>
      <c r="AT424" s="190" t="s">
        <v>129</v>
      </c>
      <c r="AU424" s="203">
        <f t="shared" ref="AU424:BB424" si="336">+V426*$J$424</f>
        <v>0</v>
      </c>
      <c r="AV424" s="203">
        <f t="shared" si="336"/>
        <v>0</v>
      </c>
      <c r="AW424" s="203">
        <f t="shared" si="336"/>
        <v>0</v>
      </c>
      <c r="AX424" s="203">
        <f t="shared" si="336"/>
        <v>0</v>
      </c>
      <c r="AY424" s="203">
        <f t="shared" si="336"/>
        <v>0</v>
      </c>
      <c r="AZ424" s="203">
        <f t="shared" si="336"/>
        <v>0</v>
      </c>
      <c r="BA424" s="203">
        <f t="shared" si="336"/>
        <v>0</v>
      </c>
      <c r="BB424" s="203">
        <f t="shared" si="336"/>
        <v>0</v>
      </c>
      <c r="BC424" s="567"/>
      <c r="BD424" s="609"/>
      <c r="BE424" s="117"/>
      <c r="BF424" s="118"/>
    </row>
    <row r="425" spans="1:58" s="120" customFormat="1" ht="35.1" customHeight="1" x14ac:dyDescent="0.25">
      <c r="A425" s="675"/>
      <c r="B425" s="664"/>
      <c r="C425" s="665"/>
      <c r="D425" s="922"/>
      <c r="E425" s="913"/>
      <c r="F425" s="916"/>
      <c r="G425" s="759"/>
      <c r="H425" s="759"/>
      <c r="I425" s="550"/>
      <c r="J425" s="759"/>
      <c r="K425" s="733"/>
      <c r="L425" s="733"/>
      <c r="M425" s="733"/>
      <c r="N425" s="723"/>
      <c r="O425" s="723"/>
      <c r="P425" s="719"/>
      <c r="Q425" s="719"/>
      <c r="R425" s="759"/>
      <c r="S425" s="759"/>
      <c r="T425" s="765"/>
      <c r="U425" s="354" t="s">
        <v>698</v>
      </c>
      <c r="V425" s="283">
        <v>0.18099999999999999</v>
      </c>
      <c r="W425" s="283">
        <v>0.20599999999999999</v>
      </c>
      <c r="X425" s="228">
        <v>1E-4</v>
      </c>
      <c r="Y425" s="228">
        <v>1E-4</v>
      </c>
      <c r="Z425" s="283">
        <f>+V425</f>
        <v>0.18099999999999999</v>
      </c>
      <c r="AA425" s="283">
        <f>+V425+W425</f>
        <v>0.38700000000000001</v>
      </c>
      <c r="AB425" s="283">
        <f>+V425+W425+X425</f>
        <v>0.3871</v>
      </c>
      <c r="AC425" s="283">
        <f>+V425+W425+X425+Y425</f>
        <v>0.38719999999999999</v>
      </c>
      <c r="AD425" s="907"/>
      <c r="AE425" s="910"/>
      <c r="AF425" s="910"/>
      <c r="AG425" s="910"/>
      <c r="AH425" s="714"/>
      <c r="AI425" s="714"/>
      <c r="AJ425" s="714"/>
      <c r="AK425" s="734"/>
      <c r="AL425" s="734"/>
      <c r="AM425" s="734"/>
      <c r="AN425" s="806"/>
      <c r="AO425" s="734"/>
      <c r="AP425" s="734"/>
      <c r="AQ425" s="806"/>
      <c r="AR425" s="335"/>
      <c r="AS425" s="345"/>
      <c r="AT425" s="190" t="s">
        <v>131</v>
      </c>
      <c r="AU425" s="203">
        <f>+AU424*$H$424</f>
        <v>0</v>
      </c>
      <c r="AV425" s="203">
        <f t="shared" ref="AV425:BB425" si="337">+AV424*$H$424</f>
        <v>0</v>
      </c>
      <c r="AW425" s="203">
        <f t="shared" si="337"/>
        <v>0</v>
      </c>
      <c r="AX425" s="203">
        <f t="shared" si="337"/>
        <v>0</v>
      </c>
      <c r="AY425" s="203">
        <f t="shared" si="337"/>
        <v>0</v>
      </c>
      <c r="AZ425" s="203">
        <f t="shared" si="337"/>
        <v>0</v>
      </c>
      <c r="BA425" s="203">
        <f t="shared" si="337"/>
        <v>0</v>
      </c>
      <c r="BB425" s="203">
        <f t="shared" si="337"/>
        <v>0</v>
      </c>
      <c r="BC425" s="567"/>
      <c r="BD425" s="609"/>
      <c r="BE425" s="117"/>
      <c r="BF425" s="118"/>
    </row>
    <row r="426" spans="1:58" s="120" customFormat="1" ht="24.95" customHeight="1" x14ac:dyDescent="0.25">
      <c r="A426" s="675"/>
      <c r="B426" s="664"/>
      <c r="C426" s="665"/>
      <c r="D426" s="922"/>
      <c r="E426" s="913"/>
      <c r="F426" s="916"/>
      <c r="G426" s="760"/>
      <c r="H426" s="760"/>
      <c r="I426" s="551"/>
      <c r="J426" s="760"/>
      <c r="K426" s="733"/>
      <c r="L426" s="733"/>
      <c r="M426" s="733"/>
      <c r="N426" s="724"/>
      <c r="O426" s="724"/>
      <c r="P426" s="719"/>
      <c r="Q426" s="719"/>
      <c r="R426" s="760"/>
      <c r="S426" s="760"/>
      <c r="T426" s="766"/>
      <c r="U426" s="172" t="s">
        <v>96</v>
      </c>
      <c r="V426" s="123">
        <f t="shared" ref="V426:AC426" si="338">IF((V424/V425)&lt;$I$8,(V424/V425),IF((V424/V425)&lt;$J$8,(V424/V425),IF((V424/V425)&lt;$J$9,(V424/V425),IF((V424/V425)&gt;=$J$9,$J$9))))</f>
        <v>0</v>
      </c>
      <c r="W426" s="123">
        <f t="shared" si="338"/>
        <v>0</v>
      </c>
      <c r="X426" s="123">
        <f t="shared" si="338"/>
        <v>0</v>
      </c>
      <c r="Y426" s="123">
        <f t="shared" si="338"/>
        <v>0</v>
      </c>
      <c r="Z426" s="123">
        <f t="shared" si="338"/>
        <v>0</v>
      </c>
      <c r="AA426" s="123">
        <f t="shared" si="338"/>
        <v>0</v>
      </c>
      <c r="AB426" s="123">
        <f t="shared" si="338"/>
        <v>0</v>
      </c>
      <c r="AC426" s="123">
        <f t="shared" si="338"/>
        <v>0</v>
      </c>
      <c r="AD426" s="908"/>
      <c r="AE426" s="911"/>
      <c r="AF426" s="911"/>
      <c r="AG426" s="911"/>
      <c r="AH426" s="715"/>
      <c r="AI426" s="715"/>
      <c r="AJ426" s="715"/>
      <c r="AK426" s="734"/>
      <c r="AL426" s="734"/>
      <c r="AM426" s="734"/>
      <c r="AN426" s="807"/>
      <c r="AO426" s="734"/>
      <c r="AP426" s="734"/>
      <c r="AQ426" s="807"/>
      <c r="AR426" s="335"/>
      <c r="AS426" s="345"/>
      <c r="AT426" s="190" t="s">
        <v>132</v>
      </c>
      <c r="AU426" s="575"/>
      <c r="AV426" s="576"/>
      <c r="AW426" s="576"/>
      <c r="AX426" s="576"/>
      <c r="AY426" s="576"/>
      <c r="AZ426" s="576"/>
      <c r="BA426" s="576"/>
      <c r="BB426" s="577"/>
      <c r="BC426" s="567"/>
      <c r="BD426" s="609"/>
      <c r="BE426" s="117"/>
      <c r="BF426" s="118"/>
    </row>
    <row r="427" spans="1:58" s="120" customFormat="1" ht="35.1" customHeight="1" x14ac:dyDescent="0.25">
      <c r="A427" s="675"/>
      <c r="B427" s="664"/>
      <c r="C427" s="673">
        <v>7</v>
      </c>
      <c r="D427" s="922"/>
      <c r="E427" s="913"/>
      <c r="F427" s="916"/>
      <c r="G427" s="758" t="s">
        <v>699</v>
      </c>
      <c r="H427" s="758">
        <v>0.05</v>
      </c>
      <c r="I427" s="722" t="s">
        <v>338</v>
      </c>
      <c r="J427" s="758">
        <v>1</v>
      </c>
      <c r="K427" s="722" t="s">
        <v>647</v>
      </c>
      <c r="L427" s="733" t="s">
        <v>700</v>
      </c>
      <c r="M427" s="733" t="str">
        <f>CONCATENATE(U427,$S$32,U428)</f>
        <v>No. de Procedimientos revisados No. de Procedimientos vigentes programados para revisión</v>
      </c>
      <c r="N427" s="722" t="s">
        <v>701</v>
      </c>
      <c r="O427" s="722" t="s">
        <v>89</v>
      </c>
      <c r="P427" s="719">
        <v>0.1</v>
      </c>
      <c r="Q427" s="719">
        <v>1</v>
      </c>
      <c r="R427" s="758">
        <v>1</v>
      </c>
      <c r="S427" s="758">
        <v>1</v>
      </c>
      <c r="T427" s="764" t="s">
        <v>151</v>
      </c>
      <c r="U427" s="164" t="s">
        <v>342</v>
      </c>
      <c r="V427" s="315"/>
      <c r="W427" s="315"/>
      <c r="X427" s="315"/>
      <c r="Y427" s="315"/>
      <c r="Z427" s="332"/>
      <c r="AA427" s="332"/>
      <c r="AB427" s="332"/>
      <c r="AC427" s="332"/>
      <c r="AD427" s="906">
        <v>0</v>
      </c>
      <c r="AE427" s="909">
        <v>0</v>
      </c>
      <c r="AF427" s="909">
        <v>0</v>
      </c>
      <c r="AG427" s="909">
        <v>0</v>
      </c>
      <c r="AH427" s="713" t="s">
        <v>665</v>
      </c>
      <c r="AI427" s="734" t="s">
        <v>697</v>
      </c>
      <c r="AJ427" s="713" t="s">
        <v>94</v>
      </c>
      <c r="AK427" s="716"/>
      <c r="AL427" s="716"/>
      <c r="AM427" s="716"/>
      <c r="AN427" s="805" t="s">
        <v>94</v>
      </c>
      <c r="AO427" s="355"/>
      <c r="AP427" s="355"/>
      <c r="AQ427" s="805" t="s">
        <v>94</v>
      </c>
      <c r="AR427" s="716"/>
      <c r="AS427" s="716"/>
      <c r="AT427" s="190" t="s">
        <v>129</v>
      </c>
      <c r="AU427" s="131">
        <f t="shared" ref="AU427:BB427" si="339">+V429*$J$427</f>
        <v>0</v>
      </c>
      <c r="AV427" s="203">
        <f t="shared" si="339"/>
        <v>0</v>
      </c>
      <c r="AW427" s="131">
        <f t="shared" si="339"/>
        <v>0</v>
      </c>
      <c r="AX427" s="131">
        <f t="shared" si="339"/>
        <v>0</v>
      </c>
      <c r="AY427" s="131">
        <f t="shared" si="339"/>
        <v>0</v>
      </c>
      <c r="AZ427" s="203">
        <f t="shared" si="339"/>
        <v>0</v>
      </c>
      <c r="BA427" s="131">
        <f t="shared" si="339"/>
        <v>0</v>
      </c>
      <c r="BB427" s="131">
        <f t="shared" si="339"/>
        <v>0</v>
      </c>
      <c r="BC427" s="567"/>
      <c r="BD427" s="609"/>
      <c r="BE427" s="117"/>
      <c r="BF427" s="118"/>
    </row>
    <row r="428" spans="1:58" s="120" customFormat="1" ht="35.1" customHeight="1" x14ac:dyDescent="0.25">
      <c r="A428" s="675"/>
      <c r="B428" s="664"/>
      <c r="C428" s="673"/>
      <c r="D428" s="922"/>
      <c r="E428" s="913"/>
      <c r="F428" s="916"/>
      <c r="G428" s="759"/>
      <c r="H428" s="759"/>
      <c r="I428" s="723"/>
      <c r="J428" s="759"/>
      <c r="K428" s="723"/>
      <c r="L428" s="733"/>
      <c r="M428" s="733"/>
      <c r="N428" s="723"/>
      <c r="O428" s="723"/>
      <c r="P428" s="719"/>
      <c r="Q428" s="719"/>
      <c r="R428" s="759"/>
      <c r="S428" s="759"/>
      <c r="T428" s="765"/>
      <c r="U428" s="354" t="s">
        <v>345</v>
      </c>
      <c r="V428" s="219">
        <v>1E-4</v>
      </c>
      <c r="W428" s="219">
        <v>6</v>
      </c>
      <c r="X428" s="219">
        <v>1E-4</v>
      </c>
      <c r="Y428" s="219">
        <v>1E-4</v>
      </c>
      <c r="Z428" s="219">
        <f>+V428</f>
        <v>1E-4</v>
      </c>
      <c r="AA428" s="219">
        <v>6</v>
      </c>
      <c r="AB428" s="219">
        <v>6</v>
      </c>
      <c r="AC428" s="219">
        <v>6</v>
      </c>
      <c r="AD428" s="907"/>
      <c r="AE428" s="910"/>
      <c r="AF428" s="910"/>
      <c r="AG428" s="910"/>
      <c r="AH428" s="714"/>
      <c r="AI428" s="734"/>
      <c r="AJ428" s="714"/>
      <c r="AK428" s="717"/>
      <c r="AL428" s="717"/>
      <c r="AM428" s="717"/>
      <c r="AN428" s="806"/>
      <c r="AO428" s="356"/>
      <c r="AP428" s="356"/>
      <c r="AQ428" s="806"/>
      <c r="AR428" s="717"/>
      <c r="AS428" s="717"/>
      <c r="AT428" s="190" t="s">
        <v>131</v>
      </c>
      <c r="AU428" s="203">
        <f>+AU427*$H$427</f>
        <v>0</v>
      </c>
      <c r="AV428" s="203">
        <f t="shared" ref="AV428:BB428" si="340">+AV427*$H$427</f>
        <v>0</v>
      </c>
      <c r="AW428" s="203">
        <f t="shared" si="340"/>
        <v>0</v>
      </c>
      <c r="AX428" s="203">
        <f t="shared" si="340"/>
        <v>0</v>
      </c>
      <c r="AY428" s="203">
        <f t="shared" si="340"/>
        <v>0</v>
      </c>
      <c r="AZ428" s="203">
        <f t="shared" si="340"/>
        <v>0</v>
      </c>
      <c r="BA428" s="203">
        <f t="shared" si="340"/>
        <v>0</v>
      </c>
      <c r="BB428" s="203">
        <f t="shared" si="340"/>
        <v>0</v>
      </c>
      <c r="BC428" s="567"/>
      <c r="BD428" s="609"/>
      <c r="BE428" s="117"/>
      <c r="BF428" s="118"/>
    </row>
    <row r="429" spans="1:58" s="120" customFormat="1" ht="24.95" customHeight="1" x14ac:dyDescent="0.25">
      <c r="A429" s="675"/>
      <c r="B429" s="664"/>
      <c r="C429" s="673"/>
      <c r="D429" s="922"/>
      <c r="E429" s="913"/>
      <c r="F429" s="916"/>
      <c r="G429" s="760"/>
      <c r="H429" s="760"/>
      <c r="I429" s="724"/>
      <c r="J429" s="760"/>
      <c r="K429" s="724"/>
      <c r="L429" s="733"/>
      <c r="M429" s="733"/>
      <c r="N429" s="724"/>
      <c r="O429" s="724"/>
      <c r="P429" s="719"/>
      <c r="Q429" s="719"/>
      <c r="R429" s="760"/>
      <c r="S429" s="760"/>
      <c r="T429" s="766"/>
      <c r="U429" s="172" t="s">
        <v>96</v>
      </c>
      <c r="V429" s="197">
        <f t="shared" ref="V429:AC429" si="341">IF((V427/V428)&lt;$I$8,(V427/V428),IF((V427/V428)&lt;$J$8,(V427/V428),IF((V427/V428)&lt;$J$9,(V427/V428),IF((V427/V428)&gt;=$J$9,$J$9))))</f>
        <v>0</v>
      </c>
      <c r="W429" s="123">
        <f t="shared" si="341"/>
        <v>0</v>
      </c>
      <c r="X429" s="197">
        <f t="shared" si="341"/>
        <v>0</v>
      </c>
      <c r="Y429" s="197">
        <f t="shared" si="341"/>
        <v>0</v>
      </c>
      <c r="Z429" s="197">
        <f t="shared" si="341"/>
        <v>0</v>
      </c>
      <c r="AA429" s="123">
        <f t="shared" si="341"/>
        <v>0</v>
      </c>
      <c r="AB429" s="197">
        <f t="shared" si="341"/>
        <v>0</v>
      </c>
      <c r="AC429" s="197">
        <f t="shared" si="341"/>
        <v>0</v>
      </c>
      <c r="AD429" s="908"/>
      <c r="AE429" s="911"/>
      <c r="AF429" s="911"/>
      <c r="AG429" s="911"/>
      <c r="AH429" s="715"/>
      <c r="AI429" s="734"/>
      <c r="AJ429" s="715"/>
      <c r="AK429" s="718"/>
      <c r="AL429" s="718"/>
      <c r="AM429" s="718"/>
      <c r="AN429" s="807"/>
      <c r="AO429" s="357"/>
      <c r="AP429" s="357"/>
      <c r="AQ429" s="807"/>
      <c r="AR429" s="718"/>
      <c r="AS429" s="718"/>
      <c r="AT429" s="190" t="s">
        <v>132</v>
      </c>
      <c r="AU429" s="575"/>
      <c r="AV429" s="576"/>
      <c r="AW429" s="576"/>
      <c r="AX429" s="576"/>
      <c r="AY429" s="576"/>
      <c r="AZ429" s="576"/>
      <c r="BA429" s="576"/>
      <c r="BB429" s="577"/>
      <c r="BC429" s="568"/>
      <c r="BD429" s="609"/>
      <c r="BE429" s="117"/>
      <c r="BF429" s="118"/>
    </row>
    <row r="430" spans="1:58" s="120" customFormat="1" ht="35.1" customHeight="1" x14ac:dyDescent="0.25">
      <c r="A430" s="128"/>
      <c r="B430" s="664"/>
      <c r="C430" s="665">
        <v>8</v>
      </c>
      <c r="D430" s="922"/>
      <c r="E430" s="912" t="s">
        <v>513</v>
      </c>
      <c r="F430" s="915">
        <v>0.05</v>
      </c>
      <c r="G430" s="758" t="s">
        <v>702</v>
      </c>
      <c r="H430" s="758">
        <v>0.4</v>
      </c>
      <c r="I430" s="722" t="s">
        <v>703</v>
      </c>
      <c r="J430" s="758">
        <v>1</v>
      </c>
      <c r="K430" s="722" t="s">
        <v>704</v>
      </c>
      <c r="L430" s="722" t="s">
        <v>705</v>
      </c>
      <c r="M430" s="733" t="str">
        <f>CONCATENATE(U430,$S$32,U431)</f>
        <v>No. De acciones o campañas adelantadasNo. De acciones o campañas programadas</v>
      </c>
      <c r="N430" s="722" t="s">
        <v>706</v>
      </c>
      <c r="O430" s="722" t="s">
        <v>89</v>
      </c>
      <c r="P430" s="758">
        <v>0</v>
      </c>
      <c r="Q430" s="758">
        <v>0</v>
      </c>
      <c r="R430" s="758">
        <v>1</v>
      </c>
      <c r="S430" s="758">
        <v>1</v>
      </c>
      <c r="T430" s="764" t="s">
        <v>151</v>
      </c>
      <c r="U430" s="164" t="s">
        <v>707</v>
      </c>
      <c r="V430" s="315"/>
      <c r="W430" s="315"/>
      <c r="X430" s="315"/>
      <c r="Y430" s="315"/>
      <c r="Z430" s="332"/>
      <c r="AA430" s="332"/>
      <c r="AB430" s="332"/>
      <c r="AC430" s="332"/>
      <c r="AD430" s="906">
        <v>0</v>
      </c>
      <c r="AE430" s="909">
        <v>0</v>
      </c>
      <c r="AF430" s="909">
        <v>0</v>
      </c>
      <c r="AG430" s="909">
        <v>0</v>
      </c>
      <c r="AH430" s="713" t="s">
        <v>665</v>
      </c>
      <c r="AI430" s="734" t="s">
        <v>708</v>
      </c>
      <c r="AJ430" s="713" t="s">
        <v>94</v>
      </c>
      <c r="AK430" s="716"/>
      <c r="AL430" s="716"/>
      <c r="AM430" s="716"/>
      <c r="AN430" s="805" t="s">
        <v>94</v>
      </c>
      <c r="AO430" s="355"/>
      <c r="AP430" s="355"/>
      <c r="AQ430" s="805" t="s">
        <v>94</v>
      </c>
      <c r="AR430" s="716"/>
      <c r="AS430" s="716"/>
      <c r="AT430" s="190" t="s">
        <v>129</v>
      </c>
      <c r="AU430" s="131">
        <f t="shared" ref="AU430:BB430" si="342">+V432*$J$430</f>
        <v>0</v>
      </c>
      <c r="AV430" s="203">
        <f t="shared" si="342"/>
        <v>0</v>
      </c>
      <c r="AW430" s="203">
        <f t="shared" si="342"/>
        <v>0</v>
      </c>
      <c r="AX430" s="203">
        <f t="shared" si="342"/>
        <v>0</v>
      </c>
      <c r="AY430" s="131">
        <f t="shared" si="342"/>
        <v>0</v>
      </c>
      <c r="AZ430" s="203">
        <f t="shared" si="342"/>
        <v>0</v>
      </c>
      <c r="BA430" s="203">
        <f t="shared" si="342"/>
        <v>0</v>
      </c>
      <c r="BB430" s="203">
        <f t="shared" si="342"/>
        <v>0</v>
      </c>
      <c r="BC430" s="566">
        <f>+BB432</f>
        <v>0</v>
      </c>
      <c r="BD430" s="609"/>
      <c r="BE430" s="117"/>
      <c r="BF430" s="118"/>
    </row>
    <row r="431" spans="1:58" s="120" customFormat="1" ht="35.1" customHeight="1" thickBot="1" x14ac:dyDescent="0.3">
      <c r="A431" s="128"/>
      <c r="B431" s="664"/>
      <c r="C431" s="665"/>
      <c r="D431" s="922"/>
      <c r="E431" s="913"/>
      <c r="F431" s="916"/>
      <c r="G431" s="759"/>
      <c r="H431" s="759"/>
      <c r="I431" s="723"/>
      <c r="J431" s="759"/>
      <c r="K431" s="723"/>
      <c r="L431" s="723"/>
      <c r="M431" s="733"/>
      <c r="N431" s="723"/>
      <c r="O431" s="723"/>
      <c r="P431" s="759"/>
      <c r="Q431" s="759"/>
      <c r="R431" s="759"/>
      <c r="S431" s="759"/>
      <c r="T431" s="765"/>
      <c r="U431" s="354" t="s">
        <v>709</v>
      </c>
      <c r="V431" s="219">
        <v>1E-3</v>
      </c>
      <c r="W431" s="219">
        <v>1</v>
      </c>
      <c r="X431" s="219">
        <v>1</v>
      </c>
      <c r="Y431" s="219">
        <v>1</v>
      </c>
      <c r="Z431" s="219">
        <v>1E-3</v>
      </c>
      <c r="AA431" s="219">
        <v>1</v>
      </c>
      <c r="AB431" s="219">
        <v>2</v>
      </c>
      <c r="AC431" s="219">
        <v>3</v>
      </c>
      <c r="AD431" s="907"/>
      <c r="AE431" s="910"/>
      <c r="AF431" s="910"/>
      <c r="AG431" s="910"/>
      <c r="AH431" s="714"/>
      <c r="AI431" s="734"/>
      <c r="AJ431" s="714"/>
      <c r="AK431" s="717"/>
      <c r="AL431" s="717"/>
      <c r="AM431" s="717"/>
      <c r="AN431" s="806"/>
      <c r="AO431" s="356"/>
      <c r="AP431" s="356"/>
      <c r="AQ431" s="806"/>
      <c r="AR431" s="717"/>
      <c r="AS431" s="717"/>
      <c r="AT431" s="190" t="s">
        <v>131</v>
      </c>
      <c r="AU431" s="203">
        <f>+AU430*$H$430</f>
        <v>0</v>
      </c>
      <c r="AV431" s="203">
        <f t="shared" ref="AV431:BB431" si="343">+AV430*$H$430</f>
        <v>0</v>
      </c>
      <c r="AW431" s="203">
        <f t="shared" si="343"/>
        <v>0</v>
      </c>
      <c r="AX431" s="203">
        <f t="shared" si="343"/>
        <v>0</v>
      </c>
      <c r="AY431" s="203">
        <f t="shared" si="343"/>
        <v>0</v>
      </c>
      <c r="AZ431" s="203">
        <f t="shared" si="343"/>
        <v>0</v>
      </c>
      <c r="BA431" s="203">
        <f t="shared" si="343"/>
        <v>0</v>
      </c>
      <c r="BB431" s="265">
        <f t="shared" si="343"/>
        <v>0</v>
      </c>
      <c r="BC431" s="567"/>
      <c r="BD431" s="609"/>
      <c r="BE431" s="117"/>
      <c r="BF431" s="118"/>
    </row>
    <row r="432" spans="1:58" s="120" customFormat="1" ht="24.95" customHeight="1" thickBot="1" x14ac:dyDescent="0.3">
      <c r="A432" s="128"/>
      <c r="B432" s="664"/>
      <c r="C432" s="665"/>
      <c r="D432" s="922"/>
      <c r="E432" s="913"/>
      <c r="F432" s="916"/>
      <c r="G432" s="759"/>
      <c r="H432" s="760"/>
      <c r="I432" s="724"/>
      <c r="J432" s="760"/>
      <c r="K432" s="724"/>
      <c r="L432" s="724"/>
      <c r="M432" s="733"/>
      <c r="N432" s="724"/>
      <c r="O432" s="724"/>
      <c r="P432" s="760"/>
      <c r="Q432" s="760"/>
      <c r="R432" s="760"/>
      <c r="S432" s="760"/>
      <c r="T432" s="766"/>
      <c r="U432" s="172" t="s">
        <v>96</v>
      </c>
      <c r="V432" s="197">
        <f t="shared" ref="V432:AC432" si="344">IF((V430/V431)&lt;$I$8,(V430/V431),IF((V430/V431)&lt;$J$8,(V430/V431),IF((V430/V431)&lt;$J$9,(V430/V431),IF((V430/V431)&gt;=$J$9,$J$9))))</f>
        <v>0</v>
      </c>
      <c r="W432" s="123">
        <f t="shared" si="344"/>
        <v>0</v>
      </c>
      <c r="X432" s="123">
        <f t="shared" si="344"/>
        <v>0</v>
      </c>
      <c r="Y432" s="123">
        <f t="shared" si="344"/>
        <v>0</v>
      </c>
      <c r="Z432" s="197">
        <f t="shared" si="344"/>
        <v>0</v>
      </c>
      <c r="AA432" s="123">
        <f t="shared" si="344"/>
        <v>0</v>
      </c>
      <c r="AB432" s="123">
        <f t="shared" si="344"/>
        <v>0</v>
      </c>
      <c r="AC432" s="123">
        <f t="shared" si="344"/>
        <v>0</v>
      </c>
      <c r="AD432" s="908"/>
      <c r="AE432" s="911"/>
      <c r="AF432" s="911"/>
      <c r="AG432" s="911"/>
      <c r="AH432" s="715"/>
      <c r="AI432" s="734"/>
      <c r="AJ432" s="715"/>
      <c r="AK432" s="718"/>
      <c r="AL432" s="718"/>
      <c r="AM432" s="718"/>
      <c r="AN432" s="807"/>
      <c r="AO432" s="357"/>
      <c r="AP432" s="357"/>
      <c r="AQ432" s="807"/>
      <c r="AR432" s="718"/>
      <c r="AS432" s="718"/>
      <c r="AT432" s="190" t="s">
        <v>132</v>
      </c>
      <c r="AU432" s="203">
        <f>+(AU431+AU434+AU437)*$F$430</f>
        <v>0</v>
      </c>
      <c r="AV432" s="203">
        <f t="shared" ref="AV432:BB432" si="345">+(AV431+AV434+AV437)*$F$430</f>
        <v>0</v>
      </c>
      <c r="AW432" s="203">
        <f t="shared" si="345"/>
        <v>0</v>
      </c>
      <c r="AX432" s="203">
        <f t="shared" si="345"/>
        <v>0</v>
      </c>
      <c r="AY432" s="203">
        <f t="shared" si="345"/>
        <v>0</v>
      </c>
      <c r="AZ432" s="203">
        <f t="shared" si="345"/>
        <v>0</v>
      </c>
      <c r="BA432" s="204">
        <f t="shared" si="345"/>
        <v>0</v>
      </c>
      <c r="BB432" s="127">
        <f t="shared" si="345"/>
        <v>0</v>
      </c>
      <c r="BC432" s="567"/>
      <c r="BD432" s="609"/>
      <c r="BE432" s="117"/>
      <c r="BF432" s="118"/>
    </row>
    <row r="433" spans="1:181" s="120" customFormat="1" ht="35.1" customHeight="1" x14ac:dyDescent="0.25">
      <c r="A433" s="128"/>
      <c r="B433" s="664"/>
      <c r="C433" s="665">
        <v>9</v>
      </c>
      <c r="D433" s="922"/>
      <c r="E433" s="913"/>
      <c r="F433" s="916"/>
      <c r="G433" s="759"/>
      <c r="H433" s="758">
        <v>0.4</v>
      </c>
      <c r="I433" s="722" t="s">
        <v>710</v>
      </c>
      <c r="J433" s="758">
        <v>1</v>
      </c>
      <c r="K433" s="722" t="s">
        <v>711</v>
      </c>
      <c r="L433" s="722" t="s">
        <v>712</v>
      </c>
      <c r="M433" s="722" t="str">
        <f>CONCATENATE(U433,$S$32,U434)</f>
        <v>No. De acciones o campañas adelantadasNo. De acciones o campañas programadas</v>
      </c>
      <c r="N433" s="722" t="s">
        <v>706</v>
      </c>
      <c r="O433" s="722" t="s">
        <v>89</v>
      </c>
      <c r="P433" s="758">
        <v>0</v>
      </c>
      <c r="Q433" s="758">
        <v>0</v>
      </c>
      <c r="R433" s="758">
        <v>1</v>
      </c>
      <c r="S433" s="758">
        <v>1</v>
      </c>
      <c r="T433" s="764" t="s">
        <v>151</v>
      </c>
      <c r="U433" s="164" t="s">
        <v>707</v>
      </c>
      <c r="V433" s="315"/>
      <c r="W433" s="315"/>
      <c r="X433" s="315"/>
      <c r="Y433" s="315"/>
      <c r="Z433" s="332"/>
      <c r="AA433" s="332"/>
      <c r="AB433" s="332"/>
      <c r="AC433" s="332"/>
      <c r="AD433" s="906">
        <v>0</v>
      </c>
      <c r="AE433" s="909">
        <v>0</v>
      </c>
      <c r="AF433" s="909">
        <v>0</v>
      </c>
      <c r="AG433" s="909">
        <v>0</v>
      </c>
      <c r="AH433" s="713" t="s">
        <v>665</v>
      </c>
      <c r="AI433" s="734" t="s">
        <v>708</v>
      </c>
      <c r="AJ433" s="713" t="s">
        <v>94</v>
      </c>
      <c r="AK433" s="716"/>
      <c r="AL433" s="716"/>
      <c r="AM433" s="716"/>
      <c r="AN433" s="805" t="s">
        <v>94</v>
      </c>
      <c r="AO433" s="355"/>
      <c r="AP433" s="355"/>
      <c r="AQ433" s="805" t="s">
        <v>94</v>
      </c>
      <c r="AR433" s="716"/>
      <c r="AS433" s="716"/>
      <c r="AT433" s="190" t="s">
        <v>129</v>
      </c>
      <c r="AU433" s="131">
        <f t="shared" ref="AU433:BB433" si="346">+V435*$J$433</f>
        <v>0</v>
      </c>
      <c r="AV433" s="203">
        <f t="shared" si="346"/>
        <v>0</v>
      </c>
      <c r="AW433" s="203">
        <f t="shared" si="346"/>
        <v>0</v>
      </c>
      <c r="AX433" s="203">
        <f t="shared" si="346"/>
        <v>0</v>
      </c>
      <c r="AY433" s="131">
        <f t="shared" si="346"/>
        <v>0</v>
      </c>
      <c r="AZ433" s="203">
        <f t="shared" si="346"/>
        <v>0</v>
      </c>
      <c r="BA433" s="203">
        <f t="shared" si="346"/>
        <v>0</v>
      </c>
      <c r="BB433" s="267">
        <f t="shared" si="346"/>
        <v>0</v>
      </c>
      <c r="BC433" s="567"/>
      <c r="BD433" s="609"/>
      <c r="BE433" s="117"/>
      <c r="BF433" s="118"/>
    </row>
    <row r="434" spans="1:181" s="120" customFormat="1" ht="35.1" customHeight="1" x14ac:dyDescent="0.25">
      <c r="A434" s="128"/>
      <c r="B434" s="664"/>
      <c r="C434" s="665"/>
      <c r="D434" s="922"/>
      <c r="E434" s="913"/>
      <c r="F434" s="916"/>
      <c r="G434" s="759"/>
      <c r="H434" s="759"/>
      <c r="I434" s="723"/>
      <c r="J434" s="759"/>
      <c r="K434" s="723"/>
      <c r="L434" s="723"/>
      <c r="M434" s="723"/>
      <c r="N434" s="723"/>
      <c r="O434" s="723"/>
      <c r="P434" s="759"/>
      <c r="Q434" s="759"/>
      <c r="R434" s="759"/>
      <c r="S434" s="759"/>
      <c r="T434" s="765"/>
      <c r="U434" s="354" t="s">
        <v>709</v>
      </c>
      <c r="V434" s="219">
        <v>1E-3</v>
      </c>
      <c r="W434" s="219">
        <v>1</v>
      </c>
      <c r="X434" s="219">
        <v>1</v>
      </c>
      <c r="Y434" s="219">
        <v>1</v>
      </c>
      <c r="Z434" s="219">
        <v>1E-3</v>
      </c>
      <c r="AA434" s="219">
        <v>1</v>
      </c>
      <c r="AB434" s="219">
        <v>2</v>
      </c>
      <c r="AC434" s="219">
        <v>3</v>
      </c>
      <c r="AD434" s="907"/>
      <c r="AE434" s="910"/>
      <c r="AF434" s="910"/>
      <c r="AG434" s="910"/>
      <c r="AH434" s="714"/>
      <c r="AI434" s="734"/>
      <c r="AJ434" s="714"/>
      <c r="AK434" s="717"/>
      <c r="AL434" s="717"/>
      <c r="AM434" s="717"/>
      <c r="AN434" s="806"/>
      <c r="AO434" s="356"/>
      <c r="AP434" s="356"/>
      <c r="AQ434" s="806"/>
      <c r="AR434" s="717"/>
      <c r="AS434" s="717"/>
      <c r="AT434" s="190" t="s">
        <v>131</v>
      </c>
      <c r="AU434" s="203">
        <f>+AU433*$H$433</f>
        <v>0</v>
      </c>
      <c r="AV434" s="203">
        <f t="shared" ref="AV434:BB434" si="347">+AV433*$H$433</f>
        <v>0</v>
      </c>
      <c r="AW434" s="203">
        <f t="shared" si="347"/>
        <v>0</v>
      </c>
      <c r="AX434" s="203">
        <f t="shared" si="347"/>
        <v>0</v>
      </c>
      <c r="AY434" s="203">
        <f t="shared" si="347"/>
        <v>0</v>
      </c>
      <c r="AZ434" s="203">
        <f t="shared" si="347"/>
        <v>0</v>
      </c>
      <c r="BA434" s="203">
        <f t="shared" si="347"/>
        <v>0</v>
      </c>
      <c r="BB434" s="203">
        <f t="shared" si="347"/>
        <v>0</v>
      </c>
      <c r="BC434" s="567"/>
      <c r="BD434" s="609"/>
      <c r="BE434" s="117"/>
      <c r="BF434" s="118"/>
    </row>
    <row r="435" spans="1:181" s="120" customFormat="1" ht="24.95" customHeight="1" x14ac:dyDescent="0.25">
      <c r="A435" s="128"/>
      <c r="B435" s="664"/>
      <c r="C435" s="665"/>
      <c r="D435" s="922"/>
      <c r="E435" s="913"/>
      <c r="F435" s="916"/>
      <c r="G435" s="759"/>
      <c r="H435" s="760"/>
      <c r="I435" s="724"/>
      <c r="J435" s="760"/>
      <c r="K435" s="724"/>
      <c r="L435" s="724"/>
      <c r="M435" s="724"/>
      <c r="N435" s="724"/>
      <c r="O435" s="724"/>
      <c r="P435" s="760"/>
      <c r="Q435" s="760"/>
      <c r="R435" s="760"/>
      <c r="S435" s="760"/>
      <c r="T435" s="766"/>
      <c r="U435" s="172" t="s">
        <v>96</v>
      </c>
      <c r="V435" s="197">
        <f t="shared" ref="V435:AC435" si="348">IF((V433/V434)&lt;$I$8,(V433/V434),IF((V433/V434)&lt;$J$8,(V433/V434),IF((V433/V434)&lt;$J$9,(V433/V434),IF((V433/V434)&gt;=$J$9,$J$9))))</f>
        <v>0</v>
      </c>
      <c r="W435" s="123">
        <f t="shared" si="348"/>
        <v>0</v>
      </c>
      <c r="X435" s="123">
        <f t="shared" si="348"/>
        <v>0</v>
      </c>
      <c r="Y435" s="123">
        <f t="shared" si="348"/>
        <v>0</v>
      </c>
      <c r="Z435" s="197">
        <f t="shared" si="348"/>
        <v>0</v>
      </c>
      <c r="AA435" s="123">
        <f t="shared" si="348"/>
        <v>0</v>
      </c>
      <c r="AB435" s="123">
        <f t="shared" si="348"/>
        <v>0</v>
      </c>
      <c r="AC435" s="123">
        <f t="shared" si="348"/>
        <v>0</v>
      </c>
      <c r="AD435" s="908"/>
      <c r="AE435" s="911"/>
      <c r="AF435" s="911"/>
      <c r="AG435" s="911"/>
      <c r="AH435" s="715"/>
      <c r="AI435" s="734"/>
      <c r="AJ435" s="715"/>
      <c r="AK435" s="718"/>
      <c r="AL435" s="718"/>
      <c r="AM435" s="718"/>
      <c r="AN435" s="807"/>
      <c r="AO435" s="357"/>
      <c r="AP435" s="357"/>
      <c r="AQ435" s="807"/>
      <c r="AR435" s="718"/>
      <c r="AS435" s="718"/>
      <c r="AT435" s="190" t="s">
        <v>132</v>
      </c>
      <c r="AU435" s="575"/>
      <c r="AV435" s="576"/>
      <c r="AW435" s="576"/>
      <c r="AX435" s="576"/>
      <c r="AY435" s="576"/>
      <c r="AZ435" s="576"/>
      <c r="BA435" s="576"/>
      <c r="BB435" s="577"/>
      <c r="BC435" s="567"/>
      <c r="BD435" s="609"/>
      <c r="BE435" s="117"/>
      <c r="BF435" s="118"/>
    </row>
    <row r="436" spans="1:181" s="120" customFormat="1" ht="35.1" customHeight="1" x14ac:dyDescent="0.25">
      <c r="A436" s="675"/>
      <c r="B436" s="664"/>
      <c r="C436" s="665">
        <v>10</v>
      </c>
      <c r="D436" s="922"/>
      <c r="E436" s="913"/>
      <c r="F436" s="916"/>
      <c r="G436" s="759"/>
      <c r="H436" s="758">
        <v>0.2</v>
      </c>
      <c r="I436" s="722" t="s">
        <v>713</v>
      </c>
      <c r="J436" s="758">
        <v>1</v>
      </c>
      <c r="K436" s="722" t="s">
        <v>714</v>
      </c>
      <c r="L436" s="722" t="s">
        <v>715</v>
      </c>
      <c r="M436" s="722" t="str">
        <f>CONCATENATE(U436,$S$32,U437)</f>
        <v>Kg de Residuos Aprovechables del trimestre Kg de Residuos Aprovechables Generados trimestre anterior</v>
      </c>
      <c r="N436" s="722" t="s">
        <v>716</v>
      </c>
      <c r="O436" s="722" t="s">
        <v>89</v>
      </c>
      <c r="P436" s="758">
        <v>0</v>
      </c>
      <c r="Q436" s="758">
        <v>0</v>
      </c>
      <c r="R436" s="758">
        <v>1</v>
      </c>
      <c r="S436" s="809">
        <v>5.0000000000000001E-3</v>
      </c>
      <c r="T436" s="764" t="s">
        <v>717</v>
      </c>
      <c r="U436" s="164" t="s">
        <v>718</v>
      </c>
      <c r="V436" s="315"/>
      <c r="W436" s="315"/>
      <c r="X436" s="315"/>
      <c r="Y436" s="315"/>
      <c r="Z436" s="332"/>
      <c r="AA436" s="332"/>
      <c r="AB436" s="332"/>
      <c r="AC436" s="332"/>
      <c r="AD436" s="906">
        <v>0</v>
      </c>
      <c r="AE436" s="909">
        <v>0</v>
      </c>
      <c r="AF436" s="909">
        <v>0</v>
      </c>
      <c r="AG436" s="909">
        <v>0</v>
      </c>
      <c r="AH436" s="713" t="s">
        <v>665</v>
      </c>
      <c r="AI436" s="734" t="s">
        <v>708</v>
      </c>
      <c r="AJ436" s="713" t="s">
        <v>94</v>
      </c>
      <c r="AK436" s="716"/>
      <c r="AL436" s="716"/>
      <c r="AM436" s="716"/>
      <c r="AN436" s="805"/>
      <c r="AO436" s="355"/>
      <c r="AP436" s="805" t="s">
        <v>94</v>
      </c>
      <c r="AQ436" s="716"/>
      <c r="AR436" s="716"/>
      <c r="AS436" s="805" t="s">
        <v>94</v>
      </c>
      <c r="AT436" s="190" t="s">
        <v>129</v>
      </c>
      <c r="AU436" s="131">
        <f t="shared" ref="AU436:BB436" si="349">+V438*$J$436</f>
        <v>0</v>
      </c>
      <c r="AV436" s="203">
        <f t="shared" si="349"/>
        <v>0</v>
      </c>
      <c r="AW436" s="203">
        <f t="shared" si="349"/>
        <v>0</v>
      </c>
      <c r="AX436" s="203">
        <f t="shared" si="349"/>
        <v>0</v>
      </c>
      <c r="AY436" s="131">
        <f t="shared" si="349"/>
        <v>0</v>
      </c>
      <c r="AZ436" s="203">
        <f t="shared" si="349"/>
        <v>0</v>
      </c>
      <c r="BA436" s="203">
        <f t="shared" si="349"/>
        <v>0</v>
      </c>
      <c r="BB436" s="203">
        <f t="shared" si="349"/>
        <v>0</v>
      </c>
      <c r="BC436" s="567"/>
      <c r="BD436" s="609"/>
      <c r="BE436" s="117"/>
      <c r="BF436" s="118"/>
    </row>
    <row r="437" spans="1:181" s="120" customFormat="1" ht="35.1" customHeight="1" x14ac:dyDescent="0.25">
      <c r="A437" s="675"/>
      <c r="B437" s="664"/>
      <c r="C437" s="665"/>
      <c r="D437" s="922"/>
      <c r="E437" s="913"/>
      <c r="F437" s="916"/>
      <c r="G437" s="759"/>
      <c r="H437" s="759"/>
      <c r="I437" s="723"/>
      <c r="J437" s="759"/>
      <c r="K437" s="723"/>
      <c r="L437" s="723"/>
      <c r="M437" s="723"/>
      <c r="N437" s="723"/>
      <c r="O437" s="723"/>
      <c r="P437" s="759"/>
      <c r="Q437" s="759"/>
      <c r="R437" s="759"/>
      <c r="S437" s="810"/>
      <c r="T437" s="765"/>
      <c r="U437" s="354" t="s">
        <v>719</v>
      </c>
      <c r="V437" s="219">
        <v>0.01</v>
      </c>
      <c r="W437" s="219">
        <v>823</v>
      </c>
      <c r="X437" s="219">
        <v>0.01</v>
      </c>
      <c r="Y437" s="219">
        <v>0.01</v>
      </c>
      <c r="Z437" s="219">
        <v>1E-3</v>
      </c>
      <c r="AA437" s="219">
        <f>+W437</f>
        <v>823</v>
      </c>
      <c r="AB437" s="219">
        <v>2</v>
      </c>
      <c r="AC437" s="219">
        <v>3</v>
      </c>
      <c r="AD437" s="907"/>
      <c r="AE437" s="910"/>
      <c r="AF437" s="910"/>
      <c r="AG437" s="910"/>
      <c r="AH437" s="714"/>
      <c r="AI437" s="734"/>
      <c r="AJ437" s="714"/>
      <c r="AK437" s="717"/>
      <c r="AL437" s="717"/>
      <c r="AM437" s="717"/>
      <c r="AN437" s="806"/>
      <c r="AO437" s="356"/>
      <c r="AP437" s="806"/>
      <c r="AQ437" s="717"/>
      <c r="AR437" s="717"/>
      <c r="AS437" s="806"/>
      <c r="AT437" s="190" t="s">
        <v>131</v>
      </c>
      <c r="AU437" s="203">
        <f>+AU436*$H$436</f>
        <v>0</v>
      </c>
      <c r="AV437" s="203">
        <f t="shared" ref="AV437:BB437" si="350">+AV436*$H$436</f>
        <v>0</v>
      </c>
      <c r="AW437" s="203">
        <f t="shared" si="350"/>
        <v>0</v>
      </c>
      <c r="AX437" s="203">
        <f t="shared" si="350"/>
        <v>0</v>
      </c>
      <c r="AY437" s="203">
        <f t="shared" si="350"/>
        <v>0</v>
      </c>
      <c r="AZ437" s="203">
        <f t="shared" si="350"/>
        <v>0</v>
      </c>
      <c r="BA437" s="203">
        <f t="shared" si="350"/>
        <v>0</v>
      </c>
      <c r="BB437" s="203">
        <f t="shared" si="350"/>
        <v>0</v>
      </c>
      <c r="BC437" s="567"/>
      <c r="BD437" s="609"/>
      <c r="BE437" s="117"/>
      <c r="BF437" s="118"/>
    </row>
    <row r="438" spans="1:181" s="120" customFormat="1" ht="24.95" customHeight="1" thickBot="1" x14ac:dyDescent="0.3">
      <c r="A438" s="675"/>
      <c r="B438" s="664"/>
      <c r="C438" s="665"/>
      <c r="D438" s="923"/>
      <c r="E438" s="914"/>
      <c r="F438" s="917"/>
      <c r="G438" s="760"/>
      <c r="H438" s="760"/>
      <c r="I438" s="724"/>
      <c r="J438" s="760"/>
      <c r="K438" s="724"/>
      <c r="L438" s="724"/>
      <c r="M438" s="724"/>
      <c r="N438" s="724"/>
      <c r="O438" s="724"/>
      <c r="P438" s="760"/>
      <c r="Q438" s="760"/>
      <c r="R438" s="760"/>
      <c r="S438" s="811"/>
      <c r="T438" s="766"/>
      <c r="U438" s="172" t="s">
        <v>96</v>
      </c>
      <c r="V438" s="197">
        <f t="shared" ref="V438:AA438" si="351">IF((V436/V437)&lt;$I$8,(V436/V437),IF((V436/V437)&lt;$J$8,(V436/V437),IF((V436/V437)&lt;$J$9,(V436/V437),IF((V436/V437)&gt;=$J$9,$J$9))))</f>
        <v>0</v>
      </c>
      <c r="W438" s="123">
        <f t="shared" si="351"/>
        <v>0</v>
      </c>
      <c r="X438" s="123">
        <f t="shared" si="351"/>
        <v>0</v>
      </c>
      <c r="Y438" s="123">
        <f t="shared" si="351"/>
        <v>0</v>
      </c>
      <c r="Z438" s="197">
        <f t="shared" si="351"/>
        <v>0</v>
      </c>
      <c r="AA438" s="123">
        <f t="shared" si="351"/>
        <v>0</v>
      </c>
      <c r="AB438" s="123">
        <f>IF((AB436/AB437)&lt;$I$8,(AB436/AB437),IF((AB436/AB437)&lt;$J$8,(AB436/AB437),IF((AB436/AB437)&lt;$J$9,(AB436/AB437),IF((AB436/AB437)&gt;=$J$9,$J$9))))</f>
        <v>0</v>
      </c>
      <c r="AC438" s="123">
        <f t="shared" ref="AC438" si="352">IF((AC436/AC437)&lt;$I$8,(AC436/AC437),IF((AC436/AC437)&lt;$J$8,(AC436/AC437),IF((AC436/AC437)&lt;$J$9,(AC436/AC437),IF((AC436/AC437)&gt;=$J$9,$J$9))))</f>
        <v>0</v>
      </c>
      <c r="AD438" s="908"/>
      <c r="AE438" s="911"/>
      <c r="AF438" s="911"/>
      <c r="AG438" s="911"/>
      <c r="AH438" s="715"/>
      <c r="AI438" s="734"/>
      <c r="AJ438" s="715"/>
      <c r="AK438" s="718"/>
      <c r="AL438" s="718"/>
      <c r="AM438" s="718"/>
      <c r="AN438" s="807"/>
      <c r="AO438" s="357"/>
      <c r="AP438" s="807"/>
      <c r="AQ438" s="718"/>
      <c r="AR438" s="718"/>
      <c r="AS438" s="807"/>
      <c r="AT438" s="190" t="s">
        <v>132</v>
      </c>
      <c r="AU438" s="599"/>
      <c r="AV438" s="600"/>
      <c r="AW438" s="600"/>
      <c r="AX438" s="600"/>
      <c r="AY438" s="600"/>
      <c r="AZ438" s="600"/>
      <c r="BA438" s="600"/>
      <c r="BB438" s="601"/>
      <c r="BC438" s="568"/>
      <c r="BD438" s="610"/>
      <c r="BE438" s="117"/>
      <c r="BF438" s="118"/>
    </row>
    <row r="439" spans="1:181" s="159" customFormat="1" ht="24.95" hidden="1" customHeight="1" thickBot="1" x14ac:dyDescent="0.3">
      <c r="A439" s="44"/>
      <c r="B439" s="151"/>
      <c r="C439" s="178">
        <f>+C436+C396</f>
        <v>83</v>
      </c>
      <c r="D439" s="144"/>
      <c r="E439" s="67"/>
      <c r="F439" s="154"/>
      <c r="G439" s="154"/>
      <c r="H439" s="154"/>
      <c r="I439" s="155"/>
      <c r="J439" s="154"/>
      <c r="K439" s="155"/>
      <c r="L439" s="155"/>
      <c r="M439" s="155"/>
      <c r="N439" s="155"/>
      <c r="O439" s="155"/>
      <c r="P439" s="154"/>
      <c r="Q439" s="154"/>
      <c r="R439" s="154"/>
      <c r="S439" s="154"/>
      <c r="T439" s="154"/>
      <c r="U439" s="214"/>
      <c r="V439" s="157"/>
      <c r="W439" s="157"/>
      <c r="X439" s="157"/>
      <c r="Y439" s="157"/>
      <c r="Z439" s="157"/>
      <c r="AA439" s="157"/>
      <c r="AB439" s="157"/>
      <c r="AC439" s="157"/>
      <c r="AD439" s="158"/>
      <c r="AE439" s="157"/>
      <c r="AF439" s="157"/>
      <c r="AG439" s="157"/>
      <c r="AH439" s="157"/>
      <c r="AI439" s="157"/>
      <c r="AJ439" s="145">
        <f>COUNTA(AJ409:AJ438)</f>
        <v>10</v>
      </c>
      <c r="AK439" s="145">
        <f t="shared" ref="AK439:AS439" si="353">COUNTA(AK409:AK438)</f>
        <v>0</v>
      </c>
      <c r="AL439" s="145">
        <f t="shared" si="353"/>
        <v>0</v>
      </c>
      <c r="AM439" s="145">
        <f t="shared" si="353"/>
        <v>0</v>
      </c>
      <c r="AN439" s="145">
        <f t="shared" si="353"/>
        <v>9</v>
      </c>
      <c r="AO439" s="145">
        <f t="shared" si="353"/>
        <v>0</v>
      </c>
      <c r="AP439" s="145">
        <f t="shared" si="353"/>
        <v>1</v>
      </c>
      <c r="AQ439" s="145">
        <f t="shared" si="353"/>
        <v>9</v>
      </c>
      <c r="AR439" s="145">
        <f t="shared" si="353"/>
        <v>0</v>
      </c>
      <c r="AS439" s="145">
        <f t="shared" si="353"/>
        <v>1</v>
      </c>
      <c r="AT439" s="215"/>
      <c r="AU439" s="358">
        <f>+AU411+AU432</f>
        <v>0</v>
      </c>
      <c r="AV439" s="358">
        <f t="shared" ref="AV439:BB439" si="354">+AV411+AV432</f>
        <v>0</v>
      </c>
      <c r="AW439" s="358">
        <f t="shared" si="354"/>
        <v>0</v>
      </c>
      <c r="AX439" s="359">
        <f t="shared" si="354"/>
        <v>0</v>
      </c>
      <c r="AY439" s="360">
        <f t="shared" si="354"/>
        <v>0</v>
      </c>
      <c r="AZ439" s="361">
        <f t="shared" si="354"/>
        <v>0</v>
      </c>
      <c r="BA439" s="358">
        <f t="shared" si="354"/>
        <v>0</v>
      </c>
      <c r="BB439" s="358">
        <f t="shared" si="354"/>
        <v>0</v>
      </c>
      <c r="BC439" s="157"/>
      <c r="BD439" s="157"/>
      <c r="BE439" s="48"/>
      <c r="BF439" s="49"/>
      <c r="BG439" s="50"/>
      <c r="BH439" s="50"/>
      <c r="BI439" s="50"/>
      <c r="BJ439" s="50"/>
      <c r="BK439" s="50"/>
      <c r="BL439" s="50"/>
      <c r="BM439" s="50"/>
      <c r="BN439" s="50"/>
      <c r="BO439" s="50"/>
      <c r="BP439" s="50"/>
      <c r="BQ439" s="50"/>
      <c r="BR439" s="50"/>
      <c r="BS439" s="50"/>
      <c r="BT439" s="50"/>
      <c r="BU439" s="50"/>
      <c r="BV439" s="50"/>
      <c r="BW439" s="50"/>
      <c r="BX439" s="50"/>
      <c r="BY439" s="50"/>
      <c r="BZ439" s="50"/>
      <c r="CA439" s="50"/>
      <c r="CB439" s="50"/>
      <c r="CC439" s="50"/>
      <c r="CD439" s="50"/>
      <c r="CE439" s="50"/>
      <c r="CF439" s="50"/>
      <c r="CG439" s="50"/>
      <c r="CH439" s="50"/>
      <c r="CI439" s="50"/>
      <c r="CJ439" s="50"/>
      <c r="CK439" s="50"/>
      <c r="CL439" s="50"/>
      <c r="CM439" s="50"/>
      <c r="CN439" s="50"/>
      <c r="CO439" s="50"/>
      <c r="CP439" s="50"/>
      <c r="CQ439" s="50"/>
      <c r="CR439" s="50"/>
      <c r="CS439" s="50"/>
      <c r="CT439" s="50"/>
      <c r="CU439" s="50"/>
      <c r="CV439" s="50"/>
      <c r="CW439" s="50"/>
      <c r="CX439" s="50"/>
      <c r="CY439" s="50"/>
      <c r="CZ439" s="50"/>
      <c r="DA439" s="50"/>
      <c r="DB439" s="50"/>
      <c r="DC439" s="50"/>
      <c r="DD439" s="50"/>
      <c r="DE439" s="50"/>
      <c r="DF439" s="50"/>
      <c r="DG439" s="50"/>
      <c r="DH439" s="50"/>
      <c r="DI439" s="50"/>
      <c r="DJ439" s="50"/>
      <c r="DK439" s="50"/>
      <c r="DL439" s="50"/>
      <c r="DM439" s="50"/>
      <c r="DN439" s="50"/>
      <c r="DO439" s="50"/>
      <c r="DP439" s="50"/>
      <c r="DQ439" s="50"/>
      <c r="DR439" s="50"/>
      <c r="DS439" s="50"/>
      <c r="DT439" s="50"/>
      <c r="DU439" s="50"/>
      <c r="DV439" s="50"/>
      <c r="DW439" s="50"/>
      <c r="DX439" s="50"/>
      <c r="DY439" s="50"/>
      <c r="DZ439" s="50"/>
      <c r="EA439" s="50"/>
      <c r="EB439" s="50"/>
      <c r="EC439" s="50"/>
      <c r="ED439" s="50"/>
      <c r="EE439" s="50"/>
      <c r="EF439" s="50"/>
      <c r="EG439" s="50"/>
      <c r="EH439" s="50"/>
      <c r="EI439" s="50"/>
      <c r="EJ439" s="50"/>
      <c r="EK439" s="50"/>
      <c r="EL439" s="50"/>
      <c r="EM439" s="50"/>
      <c r="EN439" s="50"/>
      <c r="EO439" s="50"/>
      <c r="EP439" s="50"/>
      <c r="EQ439" s="50"/>
      <c r="ER439" s="50"/>
      <c r="ES439" s="50"/>
      <c r="ET439" s="50"/>
      <c r="EU439" s="50"/>
      <c r="EV439" s="50"/>
      <c r="EW439" s="50"/>
      <c r="EX439" s="50"/>
      <c r="EY439" s="50"/>
      <c r="EZ439" s="50"/>
      <c r="FA439" s="50"/>
      <c r="FB439" s="50"/>
      <c r="FC439" s="50"/>
      <c r="FD439" s="50"/>
      <c r="FE439" s="50"/>
      <c r="FF439" s="50"/>
      <c r="FG439" s="50"/>
      <c r="FH439" s="50"/>
      <c r="FI439" s="50"/>
      <c r="FJ439" s="50"/>
      <c r="FK439" s="50"/>
      <c r="FL439" s="50"/>
      <c r="FM439" s="50"/>
      <c r="FN439" s="50"/>
      <c r="FO439" s="50"/>
      <c r="FP439" s="50"/>
      <c r="FQ439" s="50"/>
      <c r="FR439" s="50"/>
      <c r="FS439" s="50"/>
      <c r="FT439" s="50"/>
      <c r="FU439" s="50"/>
      <c r="FV439" s="50"/>
      <c r="FW439" s="50"/>
      <c r="FX439" s="50"/>
      <c r="FY439" s="50"/>
    </row>
    <row r="440" spans="1:181" s="159" customFormat="1" ht="20.100000000000001" hidden="1" customHeight="1" x14ac:dyDescent="0.25">
      <c r="A440" s="271"/>
      <c r="B440" s="272"/>
      <c r="C440" s="107"/>
      <c r="D440" s="273"/>
      <c r="E440" s="273"/>
      <c r="F440" s="154"/>
      <c r="G440" s="154"/>
      <c r="H440" s="154"/>
      <c r="I440" s="155"/>
      <c r="J440" s="154"/>
      <c r="K440" s="155"/>
      <c r="L440" s="155"/>
      <c r="M440" s="155"/>
      <c r="N440" s="155"/>
      <c r="O440" s="155"/>
      <c r="P440" s="155"/>
      <c r="Q440" s="646" t="s">
        <v>154</v>
      </c>
      <c r="R440" s="646"/>
      <c r="S440" s="646"/>
      <c r="T440" s="646"/>
      <c r="U440" s="646"/>
      <c r="V440" s="156">
        <v>6</v>
      </c>
      <c r="W440" s="156">
        <v>10</v>
      </c>
      <c r="X440" s="156">
        <v>9</v>
      </c>
      <c r="Y440" s="156">
        <f>+C436</f>
        <v>10</v>
      </c>
      <c r="Z440" s="157"/>
      <c r="AA440" s="157"/>
      <c r="AB440" s="157"/>
      <c r="AC440" s="157"/>
      <c r="AD440" s="158"/>
      <c r="AE440" s="157"/>
      <c r="AF440" s="157"/>
      <c r="AG440" s="157"/>
      <c r="AH440" s="157"/>
      <c r="AI440" s="157"/>
      <c r="AJ440" s="157"/>
      <c r="AK440" s="157"/>
      <c r="AL440" s="157"/>
      <c r="AM440" s="157"/>
      <c r="AN440" s="157"/>
      <c r="AO440" s="157"/>
      <c r="AP440" s="157"/>
      <c r="AQ440" s="157"/>
      <c r="AR440" s="157"/>
      <c r="AS440" s="157"/>
      <c r="AT440" s="157"/>
      <c r="AU440" s="48"/>
      <c r="AV440" s="48"/>
      <c r="AW440" s="48"/>
      <c r="AX440" s="48"/>
      <c r="AY440" s="48"/>
      <c r="AZ440" s="48"/>
      <c r="BA440" s="48"/>
      <c r="BB440" s="48"/>
      <c r="BC440" s="48"/>
      <c r="BD440" s="48"/>
      <c r="BE440" s="48"/>
      <c r="BF440" s="49"/>
      <c r="BG440" s="50"/>
      <c r="BH440" s="50"/>
      <c r="BI440" s="50"/>
      <c r="BJ440" s="50"/>
      <c r="BK440" s="50"/>
      <c r="BL440" s="50"/>
      <c r="BM440" s="50"/>
      <c r="BN440" s="50"/>
      <c r="BO440" s="50"/>
      <c r="BP440" s="50"/>
      <c r="BQ440" s="50"/>
      <c r="BR440" s="50"/>
      <c r="BS440" s="50"/>
      <c r="BT440" s="50"/>
      <c r="BU440" s="50"/>
      <c r="BV440" s="50"/>
      <c r="BW440" s="50"/>
      <c r="BX440" s="50"/>
      <c r="BY440" s="50"/>
      <c r="BZ440" s="50"/>
      <c r="CA440" s="50"/>
      <c r="CB440" s="50"/>
      <c r="CC440" s="50"/>
      <c r="CD440" s="50"/>
      <c r="CE440" s="50"/>
      <c r="CF440" s="50"/>
      <c r="CG440" s="50"/>
      <c r="CH440" s="50"/>
      <c r="CI440" s="50"/>
      <c r="CJ440" s="50"/>
      <c r="CK440" s="50"/>
      <c r="CL440" s="50"/>
      <c r="CM440" s="50"/>
      <c r="CN440" s="50"/>
      <c r="CO440" s="50"/>
      <c r="CP440" s="50"/>
      <c r="CQ440" s="50"/>
      <c r="CR440" s="50"/>
      <c r="CS440" s="50"/>
      <c r="CT440" s="50"/>
      <c r="CU440" s="50"/>
      <c r="CV440" s="50"/>
      <c r="CW440" s="50"/>
      <c r="CX440" s="50"/>
      <c r="CY440" s="50"/>
      <c r="CZ440" s="50"/>
      <c r="DA440" s="50"/>
      <c r="DB440" s="50"/>
      <c r="DC440" s="50"/>
      <c r="DD440" s="50"/>
      <c r="DE440" s="50"/>
      <c r="DF440" s="50"/>
      <c r="DG440" s="50"/>
      <c r="DH440" s="50"/>
      <c r="DI440" s="50"/>
      <c r="DJ440" s="50"/>
      <c r="DK440" s="50"/>
      <c r="DL440" s="50"/>
      <c r="DM440" s="50"/>
      <c r="DN440" s="50"/>
      <c r="DO440" s="50"/>
      <c r="DP440" s="50"/>
      <c r="DQ440" s="50"/>
      <c r="DR440" s="50"/>
      <c r="DS440" s="50"/>
      <c r="DT440" s="50"/>
      <c r="DU440" s="50"/>
      <c r="DV440" s="50"/>
      <c r="DW440" s="50"/>
      <c r="DX440" s="50"/>
      <c r="DY440" s="50"/>
      <c r="DZ440" s="50"/>
      <c r="EA440" s="50"/>
      <c r="EB440" s="50"/>
      <c r="EC440" s="50"/>
      <c r="ED440" s="50"/>
      <c r="EE440" s="50"/>
      <c r="EF440" s="50"/>
      <c r="EG440" s="50"/>
      <c r="EH440" s="50"/>
      <c r="EI440" s="50"/>
      <c r="EJ440" s="50"/>
      <c r="EK440" s="50"/>
      <c r="EL440" s="50"/>
      <c r="EM440" s="50"/>
      <c r="EN440" s="50"/>
      <c r="EO440" s="50"/>
      <c r="EP440" s="50"/>
      <c r="EQ440" s="50"/>
      <c r="ER440" s="50"/>
      <c r="ES440" s="50"/>
      <c r="ET440" s="50"/>
      <c r="EU440" s="50"/>
      <c r="EV440" s="50"/>
      <c r="EW440" s="50"/>
      <c r="EX440" s="50"/>
      <c r="EY440" s="50"/>
      <c r="EZ440" s="50"/>
      <c r="FA440" s="50"/>
      <c r="FB440" s="50"/>
      <c r="FC440" s="50"/>
      <c r="FD440" s="50"/>
      <c r="FE440" s="50"/>
      <c r="FF440" s="50"/>
      <c r="FG440" s="50"/>
      <c r="FH440" s="50"/>
      <c r="FI440" s="50"/>
      <c r="FJ440" s="50"/>
      <c r="FK440" s="50"/>
      <c r="FL440" s="50"/>
      <c r="FM440" s="50"/>
      <c r="FN440" s="50"/>
      <c r="FO440" s="50"/>
      <c r="FP440" s="50"/>
      <c r="FQ440" s="50"/>
      <c r="FR440" s="50"/>
      <c r="FS440" s="50"/>
      <c r="FT440" s="50"/>
      <c r="FU440" s="50"/>
      <c r="FV440" s="50"/>
      <c r="FW440" s="50"/>
      <c r="FX440" s="50"/>
      <c r="FY440" s="50"/>
    </row>
    <row r="441" spans="1:181" ht="20.100000000000001" hidden="1" customHeight="1" x14ac:dyDescent="0.25">
      <c r="A441" s="271"/>
      <c r="B441" s="272"/>
      <c r="C441" s="107"/>
      <c r="D441" s="273"/>
      <c r="E441" s="273"/>
      <c r="F441" s="154"/>
      <c r="G441" s="154"/>
      <c r="H441" s="154"/>
      <c r="I441" s="155"/>
      <c r="J441" s="154"/>
      <c r="K441" s="155"/>
      <c r="L441" s="155"/>
      <c r="M441" s="155"/>
      <c r="N441" s="155"/>
      <c r="O441" s="155"/>
      <c r="P441" s="155"/>
      <c r="Q441" s="646" t="s">
        <v>155</v>
      </c>
      <c r="R441" s="646"/>
      <c r="S441" s="646"/>
      <c r="T441" s="646"/>
      <c r="U441" s="646"/>
      <c r="V441" s="161">
        <v>6</v>
      </c>
      <c r="W441" s="161">
        <v>10</v>
      </c>
      <c r="X441" s="161"/>
      <c r="Y441" s="161"/>
      <c r="Z441" s="157"/>
      <c r="AA441" s="157"/>
      <c r="AB441" s="157"/>
      <c r="AC441" s="157"/>
      <c r="AD441" s="158"/>
      <c r="AE441" s="157"/>
      <c r="AF441" s="157"/>
      <c r="AG441" s="157"/>
      <c r="AH441" s="157"/>
      <c r="AI441" s="157"/>
      <c r="AJ441" s="157"/>
      <c r="AK441" s="157"/>
      <c r="AL441" s="157"/>
      <c r="AM441" s="157"/>
      <c r="AN441" s="157"/>
      <c r="AO441" s="157"/>
      <c r="AP441" s="157"/>
      <c r="AQ441" s="157"/>
      <c r="AR441" s="157"/>
      <c r="AS441" s="157"/>
      <c r="AT441" s="157"/>
      <c r="AU441" s="48"/>
      <c r="AV441" s="48"/>
      <c r="AW441" s="48"/>
      <c r="AX441" s="48"/>
      <c r="AY441" s="48"/>
      <c r="AZ441" s="48"/>
      <c r="BA441" s="48"/>
      <c r="BB441" s="48"/>
      <c r="BC441" s="48"/>
      <c r="BD441" s="48"/>
      <c r="BE441" s="48"/>
      <c r="BF441" s="49"/>
    </row>
    <row r="442" spans="1:181" ht="20.100000000000001" hidden="1" customHeight="1" x14ac:dyDescent="0.25">
      <c r="A442" s="271"/>
      <c r="B442" s="272"/>
      <c r="C442" s="107"/>
      <c r="D442" s="273"/>
      <c r="E442" s="273"/>
      <c r="F442" s="154"/>
      <c r="G442" s="154"/>
      <c r="H442" s="154"/>
      <c r="I442" s="155"/>
      <c r="J442" s="154"/>
      <c r="K442" s="155"/>
      <c r="L442" s="155"/>
      <c r="M442" s="155"/>
      <c r="N442" s="155"/>
      <c r="O442" s="155"/>
      <c r="P442" s="155"/>
      <c r="Q442" s="646" t="s">
        <v>156</v>
      </c>
      <c r="R442" s="646"/>
      <c r="S442" s="646"/>
      <c r="T442" s="646"/>
      <c r="U442" s="646"/>
      <c r="V442" s="161">
        <v>0</v>
      </c>
      <c r="W442" s="161">
        <v>0</v>
      </c>
      <c r="X442" s="161"/>
      <c r="Y442" s="161"/>
      <c r="Z442" s="157"/>
      <c r="AA442" s="157"/>
      <c r="AB442" s="157"/>
      <c r="AC442" s="157"/>
      <c r="AD442" s="158"/>
      <c r="AE442" s="157"/>
      <c r="AF442" s="157"/>
      <c r="AG442" s="157"/>
      <c r="AH442" s="157"/>
      <c r="AI442" s="157"/>
      <c r="AJ442" s="157"/>
      <c r="AK442" s="157"/>
      <c r="AL442" s="157"/>
      <c r="AM442" s="157"/>
      <c r="AN442" s="157"/>
      <c r="AO442" s="157"/>
      <c r="AP442" s="157"/>
      <c r="AQ442" s="157"/>
      <c r="AR442" s="157"/>
      <c r="AS442" s="157"/>
      <c r="AT442" s="157"/>
      <c r="AU442" s="48"/>
      <c r="AV442" s="48"/>
      <c r="AW442" s="48"/>
      <c r="AX442" s="48"/>
      <c r="AY442" s="48"/>
      <c r="AZ442" s="48"/>
      <c r="BA442" s="48"/>
      <c r="BB442" s="48"/>
      <c r="BC442" s="48"/>
      <c r="BD442" s="48"/>
      <c r="BE442" s="48"/>
      <c r="BF442" s="49"/>
    </row>
    <row r="443" spans="1:181" ht="20.100000000000001" hidden="1" customHeight="1" x14ac:dyDescent="0.25">
      <c r="A443" s="271"/>
      <c r="B443" s="272"/>
      <c r="C443" s="107"/>
      <c r="D443" s="273"/>
      <c r="E443" s="273"/>
      <c r="F443" s="154"/>
      <c r="G443" s="154"/>
      <c r="H443" s="154"/>
      <c r="I443" s="155"/>
      <c r="J443" s="154"/>
      <c r="K443" s="155"/>
      <c r="L443" s="155"/>
      <c r="M443" s="155"/>
      <c r="N443" s="155"/>
      <c r="O443" s="155"/>
      <c r="P443" s="155"/>
      <c r="Q443" s="646" t="s">
        <v>157</v>
      </c>
      <c r="R443" s="646"/>
      <c r="S443" s="646"/>
      <c r="T443" s="646"/>
      <c r="U443" s="647"/>
      <c r="V443" s="161">
        <f>+V440-V441</f>
        <v>0</v>
      </c>
      <c r="W443" s="161">
        <f>+W440-W441</f>
        <v>0</v>
      </c>
      <c r="X443" s="161">
        <f>+X440-X441</f>
        <v>9</v>
      </c>
      <c r="Y443" s="161">
        <f>+Y440-Y441</f>
        <v>10</v>
      </c>
      <c r="Z443" s="157"/>
      <c r="AA443" s="157"/>
      <c r="AB443" s="157"/>
      <c r="AC443" s="157"/>
      <c r="AD443" s="158"/>
      <c r="AE443" s="157"/>
      <c r="AF443" s="157"/>
      <c r="AG443" s="157"/>
      <c r="AH443" s="157"/>
      <c r="AI443" s="157"/>
      <c r="AJ443" s="157"/>
      <c r="AK443" s="157"/>
      <c r="AL443" s="157"/>
      <c r="AM443" s="157"/>
      <c r="AN443" s="157"/>
      <c r="AO443" s="157"/>
      <c r="AP443" s="157"/>
      <c r="AQ443" s="157"/>
      <c r="AR443" s="157"/>
      <c r="AS443" s="157"/>
      <c r="AT443" s="157"/>
      <c r="AU443" s="48"/>
      <c r="AV443" s="48"/>
      <c r="AW443" s="48"/>
      <c r="AX443" s="48"/>
      <c r="AY443" s="48"/>
      <c r="AZ443" s="48"/>
      <c r="BA443" s="48"/>
      <c r="BB443" s="48"/>
      <c r="BC443" s="48"/>
      <c r="BD443" s="48"/>
      <c r="BE443" s="48"/>
      <c r="BF443" s="49"/>
    </row>
    <row r="444" spans="1:181" ht="20.100000000000001" hidden="1" customHeight="1" x14ac:dyDescent="0.25">
      <c r="A444" s="271"/>
      <c r="B444" s="272"/>
      <c r="C444" s="107"/>
      <c r="D444" s="273"/>
      <c r="E444" s="273"/>
      <c r="F444" s="154"/>
      <c r="G444" s="154"/>
      <c r="H444" s="154"/>
      <c r="I444" s="155"/>
      <c r="J444" s="154"/>
      <c r="K444" s="155"/>
      <c r="L444" s="155"/>
      <c r="M444" s="155"/>
      <c r="N444" s="155"/>
      <c r="O444" s="155"/>
      <c r="P444" s="155"/>
      <c r="Q444" s="646" t="s">
        <v>158</v>
      </c>
      <c r="R444" s="646"/>
      <c r="S444" s="646"/>
      <c r="T444" s="646"/>
      <c r="U444" s="646"/>
      <c r="V444" s="156">
        <f>+V440</f>
        <v>6</v>
      </c>
      <c r="W444" s="156">
        <f>+W440</f>
        <v>10</v>
      </c>
      <c r="X444" s="156">
        <f>+X440</f>
        <v>9</v>
      </c>
      <c r="Y444" s="156">
        <f>+Y440</f>
        <v>10</v>
      </c>
      <c r="Z444" s="157"/>
      <c r="AA444" s="157"/>
      <c r="AB444" s="157"/>
      <c r="AC444" s="157"/>
      <c r="AD444" s="158"/>
      <c r="AE444" s="157"/>
      <c r="AF444" s="157"/>
      <c r="AG444" s="157"/>
      <c r="AH444" s="157"/>
      <c r="AI444" s="157"/>
      <c r="AJ444" s="157"/>
      <c r="AK444" s="157"/>
      <c r="AL444" s="157"/>
      <c r="AM444" s="157"/>
      <c r="AN444" s="157"/>
      <c r="AO444" s="157"/>
      <c r="AP444" s="157"/>
      <c r="AQ444" s="157"/>
      <c r="AR444" s="157"/>
      <c r="AS444" s="157"/>
      <c r="AT444" s="157"/>
      <c r="AU444" s="48"/>
      <c r="AV444" s="48"/>
      <c r="AW444" s="48"/>
      <c r="AX444" s="48"/>
      <c r="AY444" s="48"/>
      <c r="AZ444" s="48"/>
      <c r="BA444" s="48"/>
      <c r="BB444" s="48"/>
      <c r="BC444" s="48"/>
      <c r="BD444" s="48"/>
      <c r="BE444" s="48"/>
      <c r="BF444" s="49"/>
    </row>
    <row r="445" spans="1:181" ht="20.100000000000001" hidden="1" customHeight="1" x14ac:dyDescent="0.25">
      <c r="A445" s="271"/>
      <c r="B445" s="272"/>
      <c r="C445" s="107"/>
      <c r="D445" s="273"/>
      <c r="E445" s="273"/>
      <c r="F445" s="154"/>
      <c r="G445" s="154"/>
      <c r="H445" s="154"/>
      <c r="I445" s="155"/>
      <c r="J445" s="154"/>
      <c r="K445" s="155"/>
      <c r="L445" s="155"/>
      <c r="M445" s="155"/>
      <c r="N445" s="155"/>
      <c r="O445" s="155"/>
      <c r="P445" s="155"/>
      <c r="Q445" s="646" t="s">
        <v>159</v>
      </c>
      <c r="R445" s="646"/>
      <c r="S445" s="646"/>
      <c r="T445" s="646"/>
      <c r="U445" s="646"/>
      <c r="V445" s="161">
        <v>5</v>
      </c>
      <c r="W445" s="161">
        <v>10</v>
      </c>
      <c r="X445" s="161"/>
      <c r="Y445" s="161"/>
      <c r="Z445" s="157"/>
      <c r="AA445" s="157"/>
      <c r="AB445" s="157"/>
      <c r="AC445" s="157"/>
      <c r="AD445" s="158"/>
      <c r="AE445" s="157"/>
      <c r="AF445" s="157"/>
      <c r="AG445" s="157"/>
      <c r="AH445" s="157"/>
      <c r="AI445" s="157"/>
      <c r="AJ445" s="157"/>
      <c r="AK445" s="157"/>
      <c r="AL445" s="157"/>
      <c r="AM445" s="157"/>
      <c r="AN445" s="157"/>
      <c r="AO445" s="157"/>
      <c r="AP445" s="157"/>
      <c r="AQ445" s="157"/>
      <c r="AR445" s="157"/>
      <c r="AS445" s="157"/>
      <c r="AT445" s="157"/>
      <c r="AU445" s="48"/>
      <c r="AV445" s="48"/>
      <c r="AW445" s="48"/>
      <c r="AX445" s="48"/>
      <c r="AY445" s="48"/>
      <c r="AZ445" s="48"/>
      <c r="BA445" s="48"/>
      <c r="BB445" s="48"/>
      <c r="BC445" s="48"/>
      <c r="BD445" s="48"/>
      <c r="BE445" s="48"/>
      <c r="BF445" s="49"/>
    </row>
    <row r="446" spans="1:181" ht="20.100000000000001" hidden="1" customHeight="1" x14ac:dyDescent="0.25">
      <c r="A446" s="79"/>
      <c r="B446" s="80"/>
      <c r="C446" s="88"/>
      <c r="D446" s="82"/>
      <c r="E446" s="82"/>
      <c r="F446" s="46"/>
      <c r="G446" s="46"/>
      <c r="H446" s="46"/>
      <c r="I446" s="46"/>
      <c r="J446" s="83"/>
      <c r="K446" s="46"/>
      <c r="L446" s="46"/>
      <c r="M446" s="155"/>
      <c r="N446" s="155"/>
      <c r="O446" s="155"/>
      <c r="P446" s="46"/>
      <c r="Q446" s="46"/>
      <c r="R446" s="46"/>
      <c r="S446" s="46"/>
      <c r="T446" s="46"/>
      <c r="U446" s="46"/>
      <c r="V446" s="73"/>
      <c r="W446" s="73"/>
      <c r="X446" s="73"/>
      <c r="Y446" s="73"/>
      <c r="Z446" s="46"/>
      <c r="AA446" s="46"/>
      <c r="AB446" s="46"/>
      <c r="AC446" s="46"/>
      <c r="AD446" s="47"/>
      <c r="AE446" s="48"/>
      <c r="AF446" s="48"/>
      <c r="AG446" s="48"/>
      <c r="AH446" s="48"/>
      <c r="AI446" s="48"/>
      <c r="AJ446" s="48"/>
      <c r="AK446" s="48"/>
      <c r="AL446" s="48"/>
      <c r="AM446" s="48"/>
      <c r="AN446" s="48"/>
      <c r="AO446" s="48"/>
      <c r="AP446" s="48"/>
      <c r="AQ446" s="48"/>
      <c r="AR446" s="48"/>
      <c r="AS446" s="48"/>
      <c r="AT446" s="157"/>
      <c r="AU446" s="48"/>
      <c r="AV446" s="48"/>
      <c r="AW446" s="48"/>
      <c r="AX446" s="48"/>
      <c r="AY446" s="48"/>
      <c r="AZ446" s="48"/>
      <c r="BA446" s="48"/>
      <c r="BB446" s="48"/>
      <c r="BC446" s="48"/>
      <c r="BD446" s="48"/>
      <c r="BE446" s="48"/>
      <c r="BF446" s="49"/>
    </row>
    <row r="447" spans="1:181" ht="20.100000000000001" hidden="1" customHeight="1" x14ac:dyDescent="0.25">
      <c r="A447" s="79"/>
      <c r="B447" s="80"/>
      <c r="C447" s="85"/>
      <c r="D447" s="109" t="s">
        <v>103</v>
      </c>
      <c r="E447" s="82"/>
      <c r="F447" s="46"/>
      <c r="G447" s="46"/>
      <c r="H447" s="46"/>
      <c r="I447" s="46"/>
      <c r="J447" s="83"/>
      <c r="K447" s="46"/>
      <c r="L447" s="46"/>
      <c r="M447" s="46"/>
      <c r="N447" s="46"/>
      <c r="O447" s="46"/>
      <c r="P447" s="46"/>
      <c r="Q447" s="46"/>
      <c r="R447" s="46"/>
      <c r="S447" s="46"/>
      <c r="T447" s="46"/>
      <c r="U447" s="46"/>
      <c r="V447" s="42"/>
      <c r="W447" s="46"/>
      <c r="X447" s="46"/>
      <c r="Y447" s="46"/>
      <c r="Z447" s="46"/>
      <c r="AA447" s="46"/>
      <c r="AB447" s="46"/>
      <c r="AC447" s="46"/>
      <c r="AD447" s="47"/>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9"/>
    </row>
    <row r="448" spans="1:181" ht="20.100000000000001" customHeight="1" x14ac:dyDescent="0.25">
      <c r="A448" s="79"/>
      <c r="B448" s="80"/>
      <c r="C448" s="85"/>
      <c r="D448" s="745" t="s">
        <v>36</v>
      </c>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c r="AA448" s="745"/>
      <c r="AB448" s="745"/>
      <c r="AC448" s="745"/>
      <c r="AD448" s="745"/>
      <c r="AE448" s="745"/>
      <c r="AF448" s="745"/>
      <c r="AG448" s="745"/>
      <c r="AH448" s="745"/>
      <c r="AI448" s="745"/>
      <c r="AJ448" s="745"/>
      <c r="AK448" s="745"/>
      <c r="AL448" s="745"/>
      <c r="AM448" s="745"/>
      <c r="AN448" s="745"/>
      <c r="AO448" s="745"/>
      <c r="AP448" s="745"/>
      <c r="AQ448" s="745"/>
      <c r="AR448" s="745"/>
      <c r="AS448" s="745"/>
      <c r="AT448" s="561" t="s">
        <v>104</v>
      </c>
      <c r="AU448" s="563"/>
      <c r="AV448" s="563"/>
      <c r="AW448" s="563"/>
      <c r="AX448" s="563"/>
      <c r="AY448" s="563"/>
      <c r="AZ448" s="563"/>
      <c r="BA448" s="563"/>
      <c r="BB448" s="562"/>
      <c r="BC448" s="561" t="s">
        <v>105</v>
      </c>
      <c r="BD448" s="562"/>
      <c r="BE448" s="48"/>
      <c r="BF448" s="49"/>
    </row>
    <row r="449" spans="1:58" ht="15" customHeight="1" x14ac:dyDescent="0.25">
      <c r="A449" s="79"/>
      <c r="B449" s="80"/>
      <c r="C449" s="85"/>
      <c r="D449" s="691" t="s">
        <v>106</v>
      </c>
      <c r="E449" s="691" t="s">
        <v>107</v>
      </c>
      <c r="F449" s="711" t="s">
        <v>108</v>
      </c>
      <c r="G449" s="691" t="s">
        <v>109</v>
      </c>
      <c r="H449" s="711" t="s">
        <v>110</v>
      </c>
      <c r="I449" s="691" t="s">
        <v>51</v>
      </c>
      <c r="J449" s="712" t="s">
        <v>111</v>
      </c>
      <c r="K449" s="691" t="s">
        <v>52</v>
      </c>
      <c r="L449" s="691"/>
      <c r="M449" s="691"/>
      <c r="N449" s="691" t="s">
        <v>53</v>
      </c>
      <c r="O449" s="691" t="s">
        <v>54</v>
      </c>
      <c r="P449" s="703" t="s">
        <v>55</v>
      </c>
      <c r="Q449" s="703" t="s">
        <v>56</v>
      </c>
      <c r="R449" s="703" t="s">
        <v>57</v>
      </c>
      <c r="S449" s="703" t="s">
        <v>58</v>
      </c>
      <c r="T449" s="703" t="s">
        <v>59</v>
      </c>
      <c r="U449" s="691" t="s">
        <v>60</v>
      </c>
      <c r="V449" s="691"/>
      <c r="W449" s="691"/>
      <c r="X449" s="691"/>
      <c r="Y449" s="691"/>
      <c r="Z449" s="704" t="s">
        <v>61</v>
      </c>
      <c r="AA449" s="705"/>
      <c r="AB449" s="705"/>
      <c r="AC449" s="706"/>
      <c r="AD449" s="707" t="s">
        <v>62</v>
      </c>
      <c r="AE449" s="708"/>
      <c r="AF449" s="709"/>
      <c r="AG449" s="695" t="s">
        <v>63</v>
      </c>
      <c r="AH449" s="695" t="s">
        <v>64</v>
      </c>
      <c r="AI449" s="695" t="s">
        <v>65</v>
      </c>
      <c r="AJ449" s="697" t="s">
        <v>66</v>
      </c>
      <c r="AK449" s="697"/>
      <c r="AL449" s="697"/>
      <c r="AM449" s="697"/>
      <c r="AN449" s="699"/>
      <c r="AO449" s="699"/>
      <c r="AP449" s="699"/>
      <c r="AQ449" s="699"/>
      <c r="AR449" s="699"/>
      <c r="AS449" s="700"/>
      <c r="AT449" s="558" t="s">
        <v>60</v>
      </c>
      <c r="AU449" s="569" t="s">
        <v>112</v>
      </c>
      <c r="AV449" s="570"/>
      <c r="AW449" s="570"/>
      <c r="AX449" s="571"/>
      <c r="AY449" s="569" t="s">
        <v>113</v>
      </c>
      <c r="AZ449" s="570"/>
      <c r="BA449" s="570"/>
      <c r="BB449" s="571"/>
      <c r="BC449" s="584" t="s">
        <v>114</v>
      </c>
      <c r="BD449" s="587" t="s">
        <v>102</v>
      </c>
      <c r="BE449" s="48"/>
      <c r="BF449" s="49"/>
    </row>
    <row r="450" spans="1:58" ht="15" customHeight="1" x14ac:dyDescent="0.25">
      <c r="A450" s="79"/>
      <c r="B450" s="80"/>
      <c r="C450" s="85"/>
      <c r="D450" s="691"/>
      <c r="E450" s="691"/>
      <c r="F450" s="711"/>
      <c r="G450" s="691"/>
      <c r="H450" s="711"/>
      <c r="I450" s="691"/>
      <c r="J450" s="712"/>
      <c r="K450" s="691"/>
      <c r="L450" s="691"/>
      <c r="M450" s="691"/>
      <c r="N450" s="691"/>
      <c r="O450" s="691"/>
      <c r="P450" s="703"/>
      <c r="Q450" s="703"/>
      <c r="R450" s="703"/>
      <c r="S450" s="703"/>
      <c r="T450" s="703"/>
      <c r="U450" s="691" t="s">
        <v>67</v>
      </c>
      <c r="V450" s="691"/>
      <c r="W450" s="691"/>
      <c r="X450" s="691"/>
      <c r="Y450" s="691"/>
      <c r="Z450" s="692" t="s">
        <v>67</v>
      </c>
      <c r="AA450" s="693"/>
      <c r="AB450" s="693"/>
      <c r="AC450" s="694"/>
      <c r="AD450" s="695" t="s">
        <v>68</v>
      </c>
      <c r="AE450" s="695" t="s">
        <v>69</v>
      </c>
      <c r="AF450" s="695" t="s">
        <v>70</v>
      </c>
      <c r="AG450" s="696"/>
      <c r="AH450" s="696"/>
      <c r="AI450" s="696"/>
      <c r="AJ450" s="698"/>
      <c r="AK450" s="698"/>
      <c r="AL450" s="698"/>
      <c r="AM450" s="698"/>
      <c r="AN450" s="701"/>
      <c r="AO450" s="701"/>
      <c r="AP450" s="701"/>
      <c r="AQ450" s="701"/>
      <c r="AR450" s="701"/>
      <c r="AS450" s="702"/>
      <c r="AT450" s="559"/>
      <c r="AU450" s="572"/>
      <c r="AV450" s="573"/>
      <c r="AW450" s="573"/>
      <c r="AX450" s="574"/>
      <c r="AY450" s="572"/>
      <c r="AZ450" s="573"/>
      <c r="BA450" s="573"/>
      <c r="BB450" s="574"/>
      <c r="BC450" s="585"/>
      <c r="BD450" s="588"/>
      <c r="BE450" s="48"/>
      <c r="BF450" s="49"/>
    </row>
    <row r="451" spans="1:58" s="95" customFormat="1" ht="24" customHeight="1" thickBot="1" x14ac:dyDescent="0.3">
      <c r="A451" s="86"/>
      <c r="B451" s="87"/>
      <c r="C451" s="88"/>
      <c r="D451" s="691"/>
      <c r="E451" s="691"/>
      <c r="F451" s="711"/>
      <c r="G451" s="691"/>
      <c r="H451" s="711"/>
      <c r="I451" s="691"/>
      <c r="J451" s="712"/>
      <c r="K451" s="89" t="s">
        <v>71</v>
      </c>
      <c r="L451" s="89" t="s">
        <v>115</v>
      </c>
      <c r="M451" s="89" t="s">
        <v>72</v>
      </c>
      <c r="N451" s="691"/>
      <c r="O451" s="691"/>
      <c r="P451" s="703"/>
      <c r="Q451" s="703"/>
      <c r="R451" s="703"/>
      <c r="S451" s="703"/>
      <c r="T451" s="703"/>
      <c r="U451" s="90" t="s">
        <v>73</v>
      </c>
      <c r="V451" s="89">
        <v>1</v>
      </c>
      <c r="W451" s="91">
        <v>2</v>
      </c>
      <c r="X451" s="91">
        <v>3</v>
      </c>
      <c r="Y451" s="91">
        <v>4</v>
      </c>
      <c r="Z451" s="162">
        <v>1</v>
      </c>
      <c r="AA451" s="110">
        <v>2</v>
      </c>
      <c r="AB451" s="110">
        <v>3</v>
      </c>
      <c r="AC451" s="110">
        <v>4</v>
      </c>
      <c r="AD451" s="696"/>
      <c r="AE451" s="696"/>
      <c r="AF451" s="696"/>
      <c r="AG451" s="696"/>
      <c r="AH451" s="696"/>
      <c r="AI451" s="697"/>
      <c r="AJ451" s="342" t="s">
        <v>74</v>
      </c>
      <c r="AK451" s="343" t="s">
        <v>75</v>
      </c>
      <c r="AL451" s="343" t="s">
        <v>76</v>
      </c>
      <c r="AM451" s="343" t="s">
        <v>77</v>
      </c>
      <c r="AN451" s="92" t="s">
        <v>78</v>
      </c>
      <c r="AO451" s="92" t="s">
        <v>79</v>
      </c>
      <c r="AP451" s="92" t="s">
        <v>80</v>
      </c>
      <c r="AQ451" s="92" t="s">
        <v>81</v>
      </c>
      <c r="AR451" s="93" t="s">
        <v>82</v>
      </c>
      <c r="AS451" s="93" t="s">
        <v>83</v>
      </c>
      <c r="AT451" s="560"/>
      <c r="AU451" s="111" t="s">
        <v>116</v>
      </c>
      <c r="AV451" s="111" t="s">
        <v>117</v>
      </c>
      <c r="AW451" s="111" t="s">
        <v>118</v>
      </c>
      <c r="AX451" s="111" t="s">
        <v>119</v>
      </c>
      <c r="AY451" s="111" t="s">
        <v>116</v>
      </c>
      <c r="AZ451" s="111" t="s">
        <v>117</v>
      </c>
      <c r="BA451" s="111" t="s">
        <v>118</v>
      </c>
      <c r="BB451" s="111" t="s">
        <v>119</v>
      </c>
      <c r="BC451" s="586"/>
      <c r="BD451" s="589"/>
      <c r="BE451" s="48"/>
      <c r="BF451" s="49"/>
    </row>
    <row r="452" spans="1:58" s="120" customFormat="1" ht="35.1" customHeight="1" x14ac:dyDescent="0.25">
      <c r="A452" s="675"/>
      <c r="B452" s="664"/>
      <c r="C452" s="665">
        <v>1</v>
      </c>
      <c r="D452" s="903" t="s">
        <v>36</v>
      </c>
      <c r="E452" s="688" t="s">
        <v>327</v>
      </c>
      <c r="F452" s="546">
        <v>0.8</v>
      </c>
      <c r="G452" s="900" t="s">
        <v>720</v>
      </c>
      <c r="H452" s="546">
        <v>1</v>
      </c>
      <c r="I452" s="897" t="s">
        <v>721</v>
      </c>
      <c r="J452" s="546">
        <v>1</v>
      </c>
      <c r="K452" s="897" t="s">
        <v>722</v>
      </c>
      <c r="L452" s="897" t="s">
        <v>723</v>
      </c>
      <c r="M452" s="552" t="str">
        <f>CONCATENATE(U452,$U$32,U453)</f>
        <v>Programa Anual de Caja (PAC) Ejecutado / Programa Anual de Caja (PAC) Programado</v>
      </c>
      <c r="N452" s="552"/>
      <c r="O452" s="552" t="s">
        <v>89</v>
      </c>
      <c r="P452" s="546">
        <v>0.2</v>
      </c>
      <c r="Q452" s="657">
        <v>0.97</v>
      </c>
      <c r="R452" s="657">
        <v>1</v>
      </c>
      <c r="S452" s="657">
        <v>1</v>
      </c>
      <c r="T452" s="674" t="s">
        <v>91</v>
      </c>
      <c r="U452" s="129" t="s">
        <v>724</v>
      </c>
      <c r="V452" s="362"/>
      <c r="W452" s="362"/>
      <c r="X452" s="362"/>
      <c r="Y452" s="363"/>
      <c r="Z452" s="364"/>
      <c r="AA452" s="364"/>
      <c r="AB452" s="364"/>
      <c r="AC452" s="364"/>
      <c r="AD452" s="648">
        <f>+AE452+AF452+AG452</f>
        <v>0</v>
      </c>
      <c r="AE452" s="885">
        <v>0</v>
      </c>
      <c r="AF452" s="885">
        <v>0</v>
      </c>
      <c r="AG452" s="885">
        <v>0</v>
      </c>
      <c r="AH452" s="894" t="s">
        <v>725</v>
      </c>
      <c r="AI452" s="894" t="s">
        <v>725</v>
      </c>
      <c r="AJ452" s="894" t="s">
        <v>94</v>
      </c>
      <c r="AK452" s="894"/>
      <c r="AL452" s="894" t="s">
        <v>94</v>
      </c>
      <c r="AM452" s="894"/>
      <c r="AN452" s="894"/>
      <c r="AO452" s="894" t="s">
        <v>94</v>
      </c>
      <c r="AP452" s="894"/>
      <c r="AQ452" s="894" t="s">
        <v>94</v>
      </c>
      <c r="AR452" s="894"/>
      <c r="AS452" s="894"/>
      <c r="AT452" s="190" t="s">
        <v>129</v>
      </c>
      <c r="AU452" s="203">
        <f t="shared" ref="AU452:BB452" si="355">+V454*$J$452</f>
        <v>0</v>
      </c>
      <c r="AV452" s="203">
        <f t="shared" si="355"/>
        <v>0</v>
      </c>
      <c r="AW452" s="203">
        <f t="shared" si="355"/>
        <v>0</v>
      </c>
      <c r="AX452" s="203">
        <f t="shared" si="355"/>
        <v>0</v>
      </c>
      <c r="AY452" s="203">
        <f t="shared" si="355"/>
        <v>0</v>
      </c>
      <c r="AZ452" s="203">
        <f t="shared" si="355"/>
        <v>0</v>
      </c>
      <c r="BA452" s="203">
        <f t="shared" si="355"/>
        <v>0</v>
      </c>
      <c r="BB452" s="203">
        <f t="shared" si="355"/>
        <v>0</v>
      </c>
      <c r="BC452" s="578">
        <f>+BB454+BB466</f>
        <v>0</v>
      </c>
      <c r="BD452" s="581">
        <f>+BC452</f>
        <v>0</v>
      </c>
      <c r="BE452" s="117"/>
      <c r="BF452" s="118"/>
    </row>
    <row r="453" spans="1:58" s="120" customFormat="1" ht="35.1" customHeight="1" thickBot="1" x14ac:dyDescent="0.3">
      <c r="A453" s="675"/>
      <c r="B453" s="664"/>
      <c r="C453" s="665"/>
      <c r="D453" s="904"/>
      <c r="E453" s="689"/>
      <c r="F453" s="547"/>
      <c r="G453" s="901"/>
      <c r="H453" s="547"/>
      <c r="I453" s="898"/>
      <c r="J453" s="547"/>
      <c r="K453" s="898"/>
      <c r="L453" s="898"/>
      <c r="M453" s="553"/>
      <c r="N453" s="553"/>
      <c r="O453" s="553"/>
      <c r="P453" s="547"/>
      <c r="Q453" s="657"/>
      <c r="R453" s="657"/>
      <c r="S453" s="657"/>
      <c r="T453" s="674"/>
      <c r="U453" s="300" t="s">
        <v>726</v>
      </c>
      <c r="V453" s="365">
        <v>3596180885</v>
      </c>
      <c r="W453" s="365">
        <v>8157505661</v>
      </c>
      <c r="X453" s="365">
        <v>0.01</v>
      </c>
      <c r="Y453" s="365">
        <v>0.01</v>
      </c>
      <c r="Z453" s="365">
        <f>+V453</f>
        <v>3596180885</v>
      </c>
      <c r="AA453" s="365">
        <f>+V453+W453</f>
        <v>11753686546</v>
      </c>
      <c r="AB453" s="365">
        <f>+V453+W453+X453</f>
        <v>11753686546.01</v>
      </c>
      <c r="AC453" s="365">
        <f>+V453+W453+X453+Y453</f>
        <v>11753686546.02</v>
      </c>
      <c r="AD453" s="649"/>
      <c r="AE453" s="886"/>
      <c r="AF453" s="886"/>
      <c r="AG453" s="886"/>
      <c r="AH453" s="895"/>
      <c r="AI453" s="895"/>
      <c r="AJ453" s="895"/>
      <c r="AK453" s="895"/>
      <c r="AL453" s="895"/>
      <c r="AM453" s="895"/>
      <c r="AN453" s="895"/>
      <c r="AO453" s="895"/>
      <c r="AP453" s="895"/>
      <c r="AQ453" s="895"/>
      <c r="AR453" s="895"/>
      <c r="AS453" s="895"/>
      <c r="AT453" s="190" t="s">
        <v>131</v>
      </c>
      <c r="AU453" s="203">
        <f>+AU452*$H$452</f>
        <v>0</v>
      </c>
      <c r="AV453" s="203">
        <f t="shared" ref="AV453:BB453" si="356">+AV452*$H$452</f>
        <v>0</v>
      </c>
      <c r="AW453" s="203">
        <f t="shared" si="356"/>
        <v>0</v>
      </c>
      <c r="AX453" s="203">
        <f t="shared" si="356"/>
        <v>0</v>
      </c>
      <c r="AY453" s="203">
        <f t="shared" si="356"/>
        <v>0</v>
      </c>
      <c r="AZ453" s="203">
        <f t="shared" si="356"/>
        <v>0</v>
      </c>
      <c r="BA453" s="203">
        <f t="shared" si="356"/>
        <v>0</v>
      </c>
      <c r="BB453" s="265">
        <f t="shared" si="356"/>
        <v>0</v>
      </c>
      <c r="BC453" s="579"/>
      <c r="BD453" s="582"/>
      <c r="BE453" s="117"/>
      <c r="BF453" s="118"/>
    </row>
    <row r="454" spans="1:58" s="120" customFormat="1" ht="24.75" thickBot="1" x14ac:dyDescent="0.3">
      <c r="A454" s="675"/>
      <c r="B454" s="664"/>
      <c r="C454" s="665"/>
      <c r="D454" s="904"/>
      <c r="E454" s="689"/>
      <c r="F454" s="547"/>
      <c r="G454" s="902"/>
      <c r="H454" s="548"/>
      <c r="I454" s="899"/>
      <c r="J454" s="548"/>
      <c r="K454" s="899"/>
      <c r="L454" s="899"/>
      <c r="M454" s="554"/>
      <c r="N454" s="554"/>
      <c r="O454" s="553"/>
      <c r="P454" s="548"/>
      <c r="Q454" s="657"/>
      <c r="R454" s="657"/>
      <c r="S454" s="657"/>
      <c r="T454" s="674"/>
      <c r="U454" s="125" t="s">
        <v>96</v>
      </c>
      <c r="V454" s="196">
        <f t="shared" ref="V454:AC454" si="357">IF((V452/V453)&lt;$I$8,(V452/V453),IF((V452/V453)&lt;$J$8,(V452/V453),IF((V452/V453)&lt;$J$9,(V452/V453),IF((V452/V453)&gt;=$J$9,$J$9))))</f>
        <v>0</v>
      </c>
      <c r="W454" s="196">
        <f t="shared" si="357"/>
        <v>0</v>
      </c>
      <c r="X454" s="196">
        <f t="shared" si="357"/>
        <v>0</v>
      </c>
      <c r="Y454" s="196">
        <f t="shared" si="357"/>
        <v>0</v>
      </c>
      <c r="Z454" s="196">
        <f t="shared" si="357"/>
        <v>0</v>
      </c>
      <c r="AA454" s="196">
        <f t="shared" si="357"/>
        <v>0</v>
      </c>
      <c r="AB454" s="196">
        <f t="shared" si="357"/>
        <v>0</v>
      </c>
      <c r="AC454" s="196">
        <f t="shared" si="357"/>
        <v>0</v>
      </c>
      <c r="AD454" s="650"/>
      <c r="AE454" s="887"/>
      <c r="AF454" s="887">
        <f>+AF452</f>
        <v>0</v>
      </c>
      <c r="AG454" s="887"/>
      <c r="AH454" s="896"/>
      <c r="AI454" s="896"/>
      <c r="AJ454" s="896"/>
      <c r="AK454" s="896"/>
      <c r="AL454" s="896"/>
      <c r="AM454" s="896"/>
      <c r="AN454" s="896"/>
      <c r="AO454" s="896"/>
      <c r="AP454" s="896"/>
      <c r="AQ454" s="896"/>
      <c r="AR454" s="896"/>
      <c r="AS454" s="896"/>
      <c r="AT454" s="190" t="s">
        <v>132</v>
      </c>
      <c r="AU454" s="203">
        <f>AVERAGE(AU453,AU456,AU459,AU462)*$F$452</f>
        <v>0</v>
      </c>
      <c r="AV454" s="203">
        <f t="shared" ref="AV454:BB454" si="358">AVERAGE(AV453,AV456,AV459,AV462)*$F$452</f>
        <v>0</v>
      </c>
      <c r="AW454" s="203">
        <f t="shared" si="358"/>
        <v>0</v>
      </c>
      <c r="AX454" s="203">
        <f t="shared" si="358"/>
        <v>0</v>
      </c>
      <c r="AY454" s="203">
        <f t="shared" si="358"/>
        <v>0</v>
      </c>
      <c r="AZ454" s="203">
        <f t="shared" si="358"/>
        <v>0</v>
      </c>
      <c r="BA454" s="204">
        <f t="shared" si="358"/>
        <v>0</v>
      </c>
      <c r="BB454" s="127">
        <f t="shared" si="358"/>
        <v>0</v>
      </c>
      <c r="BC454" s="579"/>
      <c r="BD454" s="582"/>
      <c r="BE454" s="117"/>
      <c r="BF454" s="118"/>
    </row>
    <row r="455" spans="1:58" s="120" customFormat="1" ht="36" customHeight="1" x14ac:dyDescent="0.25">
      <c r="A455" s="675"/>
      <c r="B455" s="664"/>
      <c r="C455" s="665">
        <v>2</v>
      </c>
      <c r="D455" s="904"/>
      <c r="E455" s="689"/>
      <c r="F455" s="547"/>
      <c r="G455" s="900" t="s">
        <v>727</v>
      </c>
      <c r="H455" s="546">
        <v>1</v>
      </c>
      <c r="I455" s="897" t="s">
        <v>728</v>
      </c>
      <c r="J455" s="546">
        <v>1</v>
      </c>
      <c r="K455" s="897" t="s">
        <v>729</v>
      </c>
      <c r="L455" s="897" t="s">
        <v>730</v>
      </c>
      <c r="M455" s="552" t="str">
        <f>CONCATENATE(U455,$U$32,U456)</f>
        <v>No. Solicitudes registradas partidas de cartera / No. Solicitudes recibidas partidas de cartera</v>
      </c>
      <c r="N455" s="552"/>
      <c r="O455" s="552" t="s">
        <v>89</v>
      </c>
      <c r="P455" s="546">
        <v>0.15</v>
      </c>
      <c r="Q455" s="657">
        <v>1</v>
      </c>
      <c r="R455" s="657">
        <v>1</v>
      </c>
      <c r="S455" s="657">
        <v>1</v>
      </c>
      <c r="T455" s="674" t="s">
        <v>91</v>
      </c>
      <c r="U455" s="129" t="s">
        <v>731</v>
      </c>
      <c r="V455" s="366"/>
      <c r="W455" s="367"/>
      <c r="X455" s="367"/>
      <c r="Y455" s="367"/>
      <c r="Z455" s="368"/>
      <c r="AA455" s="368"/>
      <c r="AB455" s="368"/>
      <c r="AC455" s="368"/>
      <c r="AD455" s="648">
        <f>+AE455+AF455+AG455</f>
        <v>0</v>
      </c>
      <c r="AE455" s="885">
        <v>0</v>
      </c>
      <c r="AF455" s="885">
        <v>0</v>
      </c>
      <c r="AG455" s="885">
        <v>0</v>
      </c>
      <c r="AH455" s="894" t="s">
        <v>725</v>
      </c>
      <c r="AI455" s="894" t="s">
        <v>725</v>
      </c>
      <c r="AJ455" s="894" t="s">
        <v>94</v>
      </c>
      <c r="AK455" s="894"/>
      <c r="AL455" s="894"/>
      <c r="AM455" s="894"/>
      <c r="AN455" s="894"/>
      <c r="AO455" s="894" t="s">
        <v>94</v>
      </c>
      <c r="AP455" s="894"/>
      <c r="AQ455" s="894" t="s">
        <v>94</v>
      </c>
      <c r="AR455" s="894"/>
      <c r="AS455" s="894"/>
      <c r="AT455" s="190" t="s">
        <v>129</v>
      </c>
      <c r="AU455" s="203">
        <f t="shared" ref="AU455:BB455" si="359">+V457*$J$455</f>
        <v>0</v>
      </c>
      <c r="AV455" s="203">
        <f t="shared" si="359"/>
        <v>0</v>
      </c>
      <c r="AW455" s="203">
        <f t="shared" si="359"/>
        <v>0</v>
      </c>
      <c r="AX455" s="203">
        <f t="shared" si="359"/>
        <v>0</v>
      </c>
      <c r="AY455" s="203">
        <f t="shared" si="359"/>
        <v>0</v>
      </c>
      <c r="AZ455" s="203">
        <f t="shared" si="359"/>
        <v>0</v>
      </c>
      <c r="BA455" s="203">
        <f t="shared" si="359"/>
        <v>0</v>
      </c>
      <c r="BB455" s="267">
        <f t="shared" si="359"/>
        <v>0</v>
      </c>
      <c r="BC455" s="579"/>
      <c r="BD455" s="582"/>
      <c r="BE455" s="117"/>
      <c r="BF455" s="118"/>
    </row>
    <row r="456" spans="1:58" s="120" customFormat="1" ht="36" customHeight="1" x14ac:dyDescent="0.25">
      <c r="A456" s="675"/>
      <c r="B456" s="664"/>
      <c r="C456" s="665"/>
      <c r="D456" s="904"/>
      <c r="E456" s="689"/>
      <c r="F456" s="547"/>
      <c r="G456" s="901"/>
      <c r="H456" s="547"/>
      <c r="I456" s="898"/>
      <c r="J456" s="547"/>
      <c r="K456" s="898"/>
      <c r="L456" s="898"/>
      <c r="M456" s="553"/>
      <c r="N456" s="553"/>
      <c r="O456" s="553"/>
      <c r="P456" s="547"/>
      <c r="Q456" s="657"/>
      <c r="R456" s="657"/>
      <c r="S456" s="657"/>
      <c r="T456" s="674"/>
      <c r="U456" s="369" t="s">
        <v>732</v>
      </c>
      <c r="V456" s="301">
        <v>844</v>
      </c>
      <c r="W456" s="301">
        <v>1098</v>
      </c>
      <c r="X456" s="301">
        <v>0.01</v>
      </c>
      <c r="Y456" s="301">
        <v>0.01</v>
      </c>
      <c r="Z456" s="301">
        <f>+V456</f>
        <v>844</v>
      </c>
      <c r="AA456" s="301">
        <f>+V456+W456</f>
        <v>1942</v>
      </c>
      <c r="AB456" s="301">
        <f>+V456+W456+X456</f>
        <v>1942.01</v>
      </c>
      <c r="AC456" s="301">
        <f>+V456+W456+X456+Y456</f>
        <v>1942.02</v>
      </c>
      <c r="AD456" s="649"/>
      <c r="AE456" s="886"/>
      <c r="AF456" s="886"/>
      <c r="AG456" s="886"/>
      <c r="AH456" s="895"/>
      <c r="AI456" s="895"/>
      <c r="AJ456" s="895"/>
      <c r="AK456" s="895"/>
      <c r="AL456" s="895"/>
      <c r="AM456" s="895"/>
      <c r="AN456" s="895"/>
      <c r="AO456" s="895"/>
      <c r="AP456" s="895"/>
      <c r="AQ456" s="895"/>
      <c r="AR456" s="895"/>
      <c r="AS456" s="895"/>
      <c r="AT456" s="190" t="s">
        <v>131</v>
      </c>
      <c r="AU456" s="203">
        <f>+AU455*$H$455</f>
        <v>0</v>
      </c>
      <c r="AV456" s="203">
        <f t="shared" ref="AV456:BB456" si="360">+AV455*$H$455</f>
        <v>0</v>
      </c>
      <c r="AW456" s="203">
        <f t="shared" si="360"/>
        <v>0</v>
      </c>
      <c r="AX456" s="203">
        <f t="shared" si="360"/>
        <v>0</v>
      </c>
      <c r="AY456" s="203">
        <f t="shared" si="360"/>
        <v>0</v>
      </c>
      <c r="AZ456" s="203">
        <f t="shared" si="360"/>
        <v>0</v>
      </c>
      <c r="BA456" s="203">
        <f t="shared" si="360"/>
        <v>0</v>
      </c>
      <c r="BB456" s="203">
        <f t="shared" si="360"/>
        <v>0</v>
      </c>
      <c r="BC456" s="579"/>
      <c r="BD456" s="582"/>
      <c r="BE456" s="117"/>
      <c r="BF456" s="118"/>
    </row>
    <row r="457" spans="1:58" s="120" customFormat="1" ht="24" x14ac:dyDescent="0.25">
      <c r="A457" s="675"/>
      <c r="B457" s="664"/>
      <c r="C457" s="665"/>
      <c r="D457" s="904"/>
      <c r="E457" s="689"/>
      <c r="F457" s="547"/>
      <c r="G457" s="902"/>
      <c r="H457" s="548"/>
      <c r="I457" s="899"/>
      <c r="J457" s="548"/>
      <c r="K457" s="899"/>
      <c r="L457" s="899"/>
      <c r="M457" s="554"/>
      <c r="N457" s="554"/>
      <c r="O457" s="553"/>
      <c r="P457" s="548"/>
      <c r="Q457" s="657"/>
      <c r="R457" s="657"/>
      <c r="S457" s="657"/>
      <c r="T457" s="674"/>
      <c r="U457" s="125" t="s">
        <v>96</v>
      </c>
      <c r="V457" s="196">
        <f t="shared" ref="V457:AC457" si="361">IF((V455/V456)&lt;$I$8,(V455/V456),IF((V455/V456)&lt;$J$8,(V455/V456),IF((V455/V456)&lt;$J$9,(V455/V456),IF((V455/V456)&gt;=$J$9,$J$9))))</f>
        <v>0</v>
      </c>
      <c r="W457" s="196">
        <f t="shared" si="361"/>
        <v>0</v>
      </c>
      <c r="X457" s="196">
        <f t="shared" si="361"/>
        <v>0</v>
      </c>
      <c r="Y457" s="196">
        <f t="shared" si="361"/>
        <v>0</v>
      </c>
      <c r="Z457" s="196">
        <f t="shared" si="361"/>
        <v>0</v>
      </c>
      <c r="AA457" s="196">
        <f t="shared" si="361"/>
        <v>0</v>
      </c>
      <c r="AB457" s="196">
        <f t="shared" si="361"/>
        <v>0</v>
      </c>
      <c r="AC457" s="196">
        <f t="shared" si="361"/>
        <v>0</v>
      </c>
      <c r="AD457" s="650"/>
      <c r="AE457" s="887"/>
      <c r="AF457" s="887">
        <f>+AF455</f>
        <v>0</v>
      </c>
      <c r="AG457" s="887"/>
      <c r="AH457" s="896"/>
      <c r="AI457" s="896"/>
      <c r="AJ457" s="896"/>
      <c r="AK457" s="896"/>
      <c r="AL457" s="896"/>
      <c r="AM457" s="896"/>
      <c r="AN457" s="896"/>
      <c r="AO457" s="896"/>
      <c r="AP457" s="896"/>
      <c r="AQ457" s="896"/>
      <c r="AR457" s="896"/>
      <c r="AS457" s="896"/>
      <c r="AT457" s="190" t="s">
        <v>132</v>
      </c>
      <c r="AU457" s="575"/>
      <c r="AV457" s="576"/>
      <c r="AW457" s="576"/>
      <c r="AX457" s="576"/>
      <c r="AY457" s="576"/>
      <c r="AZ457" s="576"/>
      <c r="BA457" s="576"/>
      <c r="BB457" s="577"/>
      <c r="BC457" s="579"/>
      <c r="BD457" s="582"/>
      <c r="BE457" s="117"/>
      <c r="BF457" s="118"/>
    </row>
    <row r="458" spans="1:58" s="120" customFormat="1" ht="36" x14ac:dyDescent="0.25">
      <c r="A458" s="675"/>
      <c r="B458" s="664"/>
      <c r="C458" s="665">
        <v>3</v>
      </c>
      <c r="D458" s="904"/>
      <c r="E458" s="689"/>
      <c r="F458" s="547"/>
      <c r="G458" s="900" t="s">
        <v>733</v>
      </c>
      <c r="H458" s="546">
        <v>1</v>
      </c>
      <c r="I458" s="897" t="s">
        <v>734</v>
      </c>
      <c r="J458" s="546">
        <v>1</v>
      </c>
      <c r="K458" s="897" t="s">
        <v>735</v>
      </c>
      <c r="L458" s="897" t="s">
        <v>736</v>
      </c>
      <c r="M458" s="552" t="str">
        <f>CONCATENATE(U458,$U$32,U459)</f>
        <v>No. de actividades ejecutadas  / No. de actividades ejecutadas</v>
      </c>
      <c r="N458" s="552"/>
      <c r="O458" s="552" t="s">
        <v>549</v>
      </c>
      <c r="P458" s="546">
        <v>0.2</v>
      </c>
      <c r="Q458" s="657">
        <v>1</v>
      </c>
      <c r="R458" s="657">
        <v>1</v>
      </c>
      <c r="S458" s="657">
        <v>1</v>
      </c>
      <c r="T458" s="658" t="s">
        <v>151</v>
      </c>
      <c r="U458" s="129" t="s">
        <v>737</v>
      </c>
      <c r="V458" s="367"/>
      <c r="W458" s="367"/>
      <c r="X458" s="367"/>
      <c r="Y458" s="367"/>
      <c r="Z458" s="370"/>
      <c r="AA458" s="370"/>
      <c r="AB458" s="370"/>
      <c r="AC458" s="370"/>
      <c r="AD458" s="648">
        <f>+AE458+AF458+AG458</f>
        <v>0</v>
      </c>
      <c r="AE458" s="885">
        <v>0</v>
      </c>
      <c r="AF458" s="885">
        <v>0</v>
      </c>
      <c r="AG458" s="885">
        <v>0</v>
      </c>
      <c r="AH458" s="894" t="s">
        <v>725</v>
      </c>
      <c r="AI458" s="894" t="s">
        <v>725</v>
      </c>
      <c r="AJ458" s="894" t="s">
        <v>94</v>
      </c>
      <c r="AK458" s="894"/>
      <c r="AL458" s="894"/>
      <c r="AM458" s="894"/>
      <c r="AN458" s="894"/>
      <c r="AO458" s="894" t="s">
        <v>94</v>
      </c>
      <c r="AP458" s="894"/>
      <c r="AQ458" s="894" t="s">
        <v>94</v>
      </c>
      <c r="AR458" s="894"/>
      <c r="AS458" s="894"/>
      <c r="AT458" s="190" t="s">
        <v>129</v>
      </c>
      <c r="AU458" s="203">
        <f t="shared" ref="AU458:BB458" si="362">+V460*$J$458</f>
        <v>0</v>
      </c>
      <c r="AV458" s="203">
        <f t="shared" si="362"/>
        <v>0</v>
      </c>
      <c r="AW458" s="203">
        <f t="shared" si="362"/>
        <v>0</v>
      </c>
      <c r="AX458" s="203">
        <f t="shared" si="362"/>
        <v>0</v>
      </c>
      <c r="AY458" s="203">
        <f t="shared" si="362"/>
        <v>0</v>
      </c>
      <c r="AZ458" s="203">
        <f t="shared" si="362"/>
        <v>0</v>
      </c>
      <c r="BA458" s="203">
        <f t="shared" si="362"/>
        <v>0</v>
      </c>
      <c r="BB458" s="203">
        <f t="shared" si="362"/>
        <v>0</v>
      </c>
      <c r="BC458" s="579"/>
      <c r="BD458" s="582"/>
      <c r="BE458" s="117"/>
      <c r="BF458" s="118"/>
    </row>
    <row r="459" spans="1:58" s="120" customFormat="1" ht="35.1" customHeight="1" x14ac:dyDescent="0.25">
      <c r="A459" s="675"/>
      <c r="B459" s="664"/>
      <c r="C459" s="665"/>
      <c r="D459" s="904"/>
      <c r="E459" s="689"/>
      <c r="F459" s="547"/>
      <c r="G459" s="901"/>
      <c r="H459" s="547"/>
      <c r="I459" s="898"/>
      <c r="J459" s="547"/>
      <c r="K459" s="898"/>
      <c r="L459" s="898"/>
      <c r="M459" s="553"/>
      <c r="N459" s="553"/>
      <c r="O459" s="553"/>
      <c r="P459" s="547"/>
      <c r="Q459" s="657"/>
      <c r="R459" s="657"/>
      <c r="S459" s="657"/>
      <c r="T459" s="659"/>
      <c r="U459" s="369" t="s">
        <v>738</v>
      </c>
      <c r="V459" s="301">
        <v>2</v>
      </c>
      <c r="W459" s="301">
        <v>2</v>
      </c>
      <c r="X459" s="301">
        <v>0.01</v>
      </c>
      <c r="Y459" s="301">
        <v>0.01</v>
      </c>
      <c r="Z459" s="301">
        <f>+V459</f>
        <v>2</v>
      </c>
      <c r="AA459" s="301">
        <f>+V459+W459</f>
        <v>4</v>
      </c>
      <c r="AB459" s="301">
        <f>+V459+W459+X459</f>
        <v>4.01</v>
      </c>
      <c r="AC459" s="301">
        <f>+V459+W459+X459+Y459</f>
        <v>4.0199999999999996</v>
      </c>
      <c r="AD459" s="649"/>
      <c r="AE459" s="886"/>
      <c r="AF459" s="886"/>
      <c r="AG459" s="886"/>
      <c r="AH459" s="895"/>
      <c r="AI459" s="895"/>
      <c r="AJ459" s="895"/>
      <c r="AK459" s="895"/>
      <c r="AL459" s="895"/>
      <c r="AM459" s="895"/>
      <c r="AN459" s="895"/>
      <c r="AO459" s="895"/>
      <c r="AP459" s="895"/>
      <c r="AQ459" s="895"/>
      <c r="AR459" s="895"/>
      <c r="AS459" s="895"/>
      <c r="AT459" s="190" t="s">
        <v>131</v>
      </c>
      <c r="AU459" s="203">
        <f>+AU458*$H$458</f>
        <v>0</v>
      </c>
      <c r="AV459" s="203">
        <f t="shared" ref="AV459:BA459" si="363">+AV458*$H$458</f>
        <v>0</v>
      </c>
      <c r="AW459" s="203">
        <f t="shared" si="363"/>
        <v>0</v>
      </c>
      <c r="AX459" s="203">
        <f t="shared" si="363"/>
        <v>0</v>
      </c>
      <c r="AY459" s="203">
        <f t="shared" si="363"/>
        <v>0</v>
      </c>
      <c r="AZ459" s="203">
        <f t="shared" si="363"/>
        <v>0</v>
      </c>
      <c r="BA459" s="203">
        <f t="shared" si="363"/>
        <v>0</v>
      </c>
      <c r="BB459" s="203">
        <f>+BB458*$H$458</f>
        <v>0</v>
      </c>
      <c r="BC459" s="579"/>
      <c r="BD459" s="582"/>
      <c r="BE459" s="117"/>
      <c r="BF459" s="118"/>
    </row>
    <row r="460" spans="1:58" s="120" customFormat="1" ht="24.95" customHeight="1" x14ac:dyDescent="0.25">
      <c r="A460" s="675"/>
      <c r="B460" s="664"/>
      <c r="C460" s="665"/>
      <c r="D460" s="904"/>
      <c r="E460" s="689"/>
      <c r="F460" s="547"/>
      <c r="G460" s="902"/>
      <c r="H460" s="548"/>
      <c r="I460" s="899"/>
      <c r="J460" s="548"/>
      <c r="K460" s="899"/>
      <c r="L460" s="899"/>
      <c r="M460" s="554"/>
      <c r="N460" s="554"/>
      <c r="O460" s="553"/>
      <c r="P460" s="548"/>
      <c r="Q460" s="657"/>
      <c r="R460" s="657"/>
      <c r="S460" s="657"/>
      <c r="T460" s="659"/>
      <c r="U460" s="371" t="s">
        <v>96</v>
      </c>
      <c r="V460" s="196">
        <f t="shared" ref="V460:AC460" si="364">IF((V458/V459)&lt;$I$8,(V458/V459),IF((V458/V459)&lt;$J$8,(V458/V459),IF((V458/V459)&lt;$J$9,(V458/V459),IF((V458/V459)&gt;=$J$9,$J$9))))</f>
        <v>0</v>
      </c>
      <c r="W460" s="196">
        <f t="shared" si="364"/>
        <v>0</v>
      </c>
      <c r="X460" s="196">
        <f t="shared" si="364"/>
        <v>0</v>
      </c>
      <c r="Y460" s="196">
        <f t="shared" si="364"/>
        <v>0</v>
      </c>
      <c r="Z460" s="196">
        <f t="shared" si="364"/>
        <v>0</v>
      </c>
      <c r="AA460" s="196">
        <f t="shared" si="364"/>
        <v>0</v>
      </c>
      <c r="AB460" s="196">
        <f t="shared" si="364"/>
        <v>0</v>
      </c>
      <c r="AC460" s="196">
        <f t="shared" si="364"/>
        <v>0</v>
      </c>
      <c r="AD460" s="650"/>
      <c r="AE460" s="887"/>
      <c r="AF460" s="887">
        <f>+AF458</f>
        <v>0</v>
      </c>
      <c r="AG460" s="887"/>
      <c r="AH460" s="896"/>
      <c r="AI460" s="896"/>
      <c r="AJ460" s="896"/>
      <c r="AK460" s="896"/>
      <c r="AL460" s="896"/>
      <c r="AM460" s="896"/>
      <c r="AN460" s="896"/>
      <c r="AO460" s="896"/>
      <c r="AP460" s="896"/>
      <c r="AQ460" s="896"/>
      <c r="AR460" s="896"/>
      <c r="AS460" s="896"/>
      <c r="AT460" s="190" t="s">
        <v>132</v>
      </c>
      <c r="AU460" s="575"/>
      <c r="AV460" s="576"/>
      <c r="AW460" s="576"/>
      <c r="AX460" s="576"/>
      <c r="AY460" s="576"/>
      <c r="AZ460" s="576"/>
      <c r="BA460" s="576"/>
      <c r="BB460" s="577"/>
      <c r="BC460" s="579"/>
      <c r="BD460" s="582"/>
      <c r="BE460" s="117"/>
      <c r="BF460" s="118"/>
    </row>
    <row r="461" spans="1:58" s="120" customFormat="1" ht="35.1" customHeight="1" x14ac:dyDescent="0.25">
      <c r="A461" s="675"/>
      <c r="B461" s="664"/>
      <c r="C461" s="673">
        <v>4</v>
      </c>
      <c r="D461" s="904"/>
      <c r="E461" s="689"/>
      <c r="F461" s="547"/>
      <c r="G461" s="881" t="s">
        <v>337</v>
      </c>
      <c r="H461" s="546">
        <v>1</v>
      </c>
      <c r="I461" s="897" t="s">
        <v>739</v>
      </c>
      <c r="J461" s="546">
        <v>1</v>
      </c>
      <c r="K461" s="897" t="s">
        <v>647</v>
      </c>
      <c r="L461" s="897" t="s">
        <v>740</v>
      </c>
      <c r="M461" s="552" t="str">
        <f>CONCATENATE(U461,$U$32,U462)</f>
        <v>No. de Procedimientos revisados   / No. de Procedimientos vigentes programados para revisión</v>
      </c>
      <c r="N461" s="552"/>
      <c r="O461" s="552" t="s">
        <v>741</v>
      </c>
      <c r="P461" s="546">
        <v>0.15</v>
      </c>
      <c r="Q461" s="657">
        <v>1</v>
      </c>
      <c r="R461" s="546">
        <v>1</v>
      </c>
      <c r="S461" s="546">
        <v>1</v>
      </c>
      <c r="T461" s="674" t="s">
        <v>91</v>
      </c>
      <c r="U461" s="129" t="s">
        <v>742</v>
      </c>
      <c r="V461" s="372"/>
      <c r="W461" s="372"/>
      <c r="X461" s="372"/>
      <c r="Y461" s="372"/>
      <c r="Z461" s="373"/>
      <c r="AA461" s="373"/>
      <c r="AB461" s="373"/>
      <c r="AC461" s="373"/>
      <c r="AD461" s="648">
        <f>+AE461+AF461+AG461</f>
        <v>0</v>
      </c>
      <c r="AE461" s="885">
        <v>0</v>
      </c>
      <c r="AF461" s="885">
        <v>0</v>
      </c>
      <c r="AG461" s="885">
        <v>0</v>
      </c>
      <c r="AH461" s="894" t="s">
        <v>725</v>
      </c>
      <c r="AI461" s="894" t="s">
        <v>725</v>
      </c>
      <c r="AJ461" s="894" t="s">
        <v>94</v>
      </c>
      <c r="AK461" s="894"/>
      <c r="AL461" s="894"/>
      <c r="AM461" s="894"/>
      <c r="AN461" s="894"/>
      <c r="AO461" s="669" t="s">
        <v>94</v>
      </c>
      <c r="AP461" s="894"/>
      <c r="AQ461" s="669" t="s">
        <v>94</v>
      </c>
      <c r="AR461" s="894"/>
      <c r="AS461" s="894"/>
      <c r="AT461" s="190" t="s">
        <v>129</v>
      </c>
      <c r="AU461" s="131">
        <f t="shared" ref="AU461:BB461" si="365">+V463*$J$461</f>
        <v>0</v>
      </c>
      <c r="AV461" s="203">
        <f t="shared" si="365"/>
        <v>0</v>
      </c>
      <c r="AW461" s="131">
        <f t="shared" si="365"/>
        <v>0</v>
      </c>
      <c r="AX461" s="131">
        <f t="shared" si="365"/>
        <v>0</v>
      </c>
      <c r="AY461" s="131">
        <f t="shared" si="365"/>
        <v>0</v>
      </c>
      <c r="AZ461" s="203">
        <f t="shared" si="365"/>
        <v>0</v>
      </c>
      <c r="BA461" s="131">
        <f t="shared" si="365"/>
        <v>0</v>
      </c>
      <c r="BB461" s="131">
        <f t="shared" si="365"/>
        <v>0</v>
      </c>
      <c r="BC461" s="579"/>
      <c r="BD461" s="582"/>
      <c r="BE461" s="117"/>
      <c r="BF461" s="118"/>
    </row>
    <row r="462" spans="1:58" s="120" customFormat="1" ht="35.1" customHeight="1" x14ac:dyDescent="0.25">
      <c r="A462" s="675"/>
      <c r="B462" s="664"/>
      <c r="C462" s="673"/>
      <c r="D462" s="904"/>
      <c r="E462" s="689"/>
      <c r="F462" s="547"/>
      <c r="G462" s="882"/>
      <c r="H462" s="547"/>
      <c r="I462" s="898"/>
      <c r="J462" s="547"/>
      <c r="K462" s="898"/>
      <c r="L462" s="898"/>
      <c r="M462" s="553"/>
      <c r="N462" s="553"/>
      <c r="O462" s="553"/>
      <c r="P462" s="547"/>
      <c r="Q462" s="657"/>
      <c r="R462" s="547"/>
      <c r="S462" s="547"/>
      <c r="T462" s="674"/>
      <c r="U462" s="300" t="s">
        <v>345</v>
      </c>
      <c r="V462" s="301">
        <v>0.01</v>
      </c>
      <c r="W462" s="301">
        <v>4</v>
      </c>
      <c r="X462" s="301">
        <v>0.01</v>
      </c>
      <c r="Y462" s="301">
        <v>0.01</v>
      </c>
      <c r="Z462" s="301">
        <f>+V462</f>
        <v>0.01</v>
      </c>
      <c r="AA462" s="301">
        <f>+V462+W462</f>
        <v>4.01</v>
      </c>
      <c r="AB462" s="301">
        <f>+X462</f>
        <v>0.01</v>
      </c>
      <c r="AC462" s="301">
        <f>+Y462</f>
        <v>0.01</v>
      </c>
      <c r="AD462" s="649"/>
      <c r="AE462" s="886"/>
      <c r="AF462" s="886"/>
      <c r="AG462" s="886"/>
      <c r="AH462" s="895"/>
      <c r="AI462" s="895"/>
      <c r="AJ462" s="895"/>
      <c r="AK462" s="895"/>
      <c r="AL462" s="895"/>
      <c r="AM462" s="895"/>
      <c r="AN462" s="895"/>
      <c r="AO462" s="670"/>
      <c r="AP462" s="895"/>
      <c r="AQ462" s="670"/>
      <c r="AR462" s="895"/>
      <c r="AS462" s="895"/>
      <c r="AT462" s="190" t="s">
        <v>131</v>
      </c>
      <c r="AU462" s="203">
        <f>+AU461*$H$461</f>
        <v>0</v>
      </c>
      <c r="AV462" s="203">
        <f t="shared" ref="AV462:BB462" si="366">+AV461*$H$461</f>
        <v>0</v>
      </c>
      <c r="AW462" s="203">
        <f t="shared" si="366"/>
        <v>0</v>
      </c>
      <c r="AX462" s="203">
        <f t="shared" si="366"/>
        <v>0</v>
      </c>
      <c r="AY462" s="203">
        <f t="shared" si="366"/>
        <v>0</v>
      </c>
      <c r="AZ462" s="203">
        <f t="shared" si="366"/>
        <v>0</v>
      </c>
      <c r="BA462" s="203">
        <f t="shared" si="366"/>
        <v>0</v>
      </c>
      <c r="BB462" s="203">
        <f t="shared" si="366"/>
        <v>0</v>
      </c>
      <c r="BC462" s="579"/>
      <c r="BD462" s="582"/>
      <c r="BE462" s="117"/>
      <c r="BF462" s="118"/>
    </row>
    <row r="463" spans="1:58" s="120" customFormat="1" ht="24.95" customHeight="1" x14ac:dyDescent="0.25">
      <c r="A463" s="675"/>
      <c r="B463" s="664"/>
      <c r="C463" s="673"/>
      <c r="D463" s="904"/>
      <c r="E463" s="689"/>
      <c r="F463" s="548"/>
      <c r="G463" s="883"/>
      <c r="H463" s="548"/>
      <c r="I463" s="899"/>
      <c r="J463" s="548"/>
      <c r="K463" s="899"/>
      <c r="L463" s="899"/>
      <c r="M463" s="554"/>
      <c r="N463" s="554"/>
      <c r="O463" s="553"/>
      <c r="P463" s="547"/>
      <c r="Q463" s="657"/>
      <c r="R463" s="547"/>
      <c r="S463" s="547"/>
      <c r="T463" s="674"/>
      <c r="U463" s="125" t="s">
        <v>96</v>
      </c>
      <c r="V463" s="197">
        <f t="shared" ref="V463:AC463" si="367">IF((V461/V462)&lt;$I$8,(V461/V462),IF((V461/V462)&lt;$J$8,(V461/V462),IF((V461/V462)&lt;$J$9,(V461/V462),IF((V461/V462)&gt;=$J$9,$J$9))))</f>
        <v>0</v>
      </c>
      <c r="W463" s="196">
        <f t="shared" si="367"/>
        <v>0</v>
      </c>
      <c r="X463" s="197">
        <f t="shared" si="367"/>
        <v>0</v>
      </c>
      <c r="Y463" s="197">
        <f t="shared" si="367"/>
        <v>0</v>
      </c>
      <c r="Z463" s="197">
        <f t="shared" si="367"/>
        <v>0</v>
      </c>
      <c r="AA463" s="196">
        <f t="shared" si="367"/>
        <v>0</v>
      </c>
      <c r="AB463" s="197">
        <f t="shared" si="367"/>
        <v>0</v>
      </c>
      <c r="AC463" s="197">
        <f t="shared" si="367"/>
        <v>0</v>
      </c>
      <c r="AD463" s="650"/>
      <c r="AE463" s="887"/>
      <c r="AF463" s="887">
        <f>+AF461</f>
        <v>0</v>
      </c>
      <c r="AG463" s="887"/>
      <c r="AH463" s="896"/>
      <c r="AI463" s="896"/>
      <c r="AJ463" s="896"/>
      <c r="AK463" s="896"/>
      <c r="AL463" s="896"/>
      <c r="AM463" s="896"/>
      <c r="AN463" s="896"/>
      <c r="AO463" s="671"/>
      <c r="AP463" s="896"/>
      <c r="AQ463" s="671"/>
      <c r="AR463" s="896"/>
      <c r="AS463" s="896"/>
      <c r="AT463" s="190" t="s">
        <v>132</v>
      </c>
      <c r="AU463" s="575"/>
      <c r="AV463" s="576"/>
      <c r="AW463" s="576"/>
      <c r="AX463" s="576"/>
      <c r="AY463" s="576"/>
      <c r="AZ463" s="576"/>
      <c r="BA463" s="576"/>
      <c r="BB463" s="577"/>
      <c r="BC463" s="579"/>
      <c r="BD463" s="582"/>
      <c r="BE463" s="117"/>
      <c r="BF463" s="118"/>
    </row>
    <row r="464" spans="1:58" s="120" customFormat="1" ht="66.95" customHeight="1" x14ac:dyDescent="0.25">
      <c r="A464" s="675"/>
      <c r="B464" s="134"/>
      <c r="C464" s="673">
        <v>5</v>
      </c>
      <c r="D464" s="904"/>
      <c r="E464" s="689"/>
      <c r="F464" s="654">
        <v>0.2</v>
      </c>
      <c r="G464" s="552" t="s">
        <v>743</v>
      </c>
      <c r="H464" s="546">
        <v>1</v>
      </c>
      <c r="I464" s="884" t="s">
        <v>744</v>
      </c>
      <c r="J464" s="546">
        <v>0.4</v>
      </c>
      <c r="K464" s="881" t="s">
        <v>745</v>
      </c>
      <c r="L464" s="881" t="s">
        <v>746</v>
      </c>
      <c r="M464" s="552" t="str">
        <f>CONCATENATE(U464,$U$32,U465)</f>
        <v>Vr. Recaudos Logrados / Vr. Recaudos programados</v>
      </c>
      <c r="N464" s="661" t="s">
        <v>747</v>
      </c>
      <c r="O464" s="661" t="s">
        <v>748</v>
      </c>
      <c r="P464" s="546">
        <v>0.12</v>
      </c>
      <c r="Q464" s="657" t="s">
        <v>749</v>
      </c>
      <c r="R464" s="546">
        <v>1</v>
      </c>
      <c r="S464" s="657" t="s">
        <v>1128</v>
      </c>
      <c r="T464" s="658" t="s">
        <v>151</v>
      </c>
      <c r="U464" s="129" t="s">
        <v>750</v>
      </c>
      <c r="V464" s="374"/>
      <c r="W464" s="374"/>
      <c r="X464" s="374"/>
      <c r="Y464" s="374"/>
      <c r="Z464" s="375"/>
      <c r="AA464" s="375"/>
      <c r="AB464" s="375"/>
      <c r="AC464" s="375"/>
      <c r="AD464" s="888">
        <f>+AE464+AF464+AG464</f>
        <v>357142219</v>
      </c>
      <c r="AE464" s="891">
        <v>235767313</v>
      </c>
      <c r="AF464" s="885">
        <v>0</v>
      </c>
      <c r="AG464" s="885">
        <v>121374906</v>
      </c>
      <c r="AH464" s="672" t="s">
        <v>751</v>
      </c>
      <c r="AI464" s="672" t="s">
        <v>751</v>
      </c>
      <c r="AJ464" s="672" t="s">
        <v>94</v>
      </c>
      <c r="AK464" s="672"/>
      <c r="AL464" s="672"/>
      <c r="AM464" s="672"/>
      <c r="AN464" s="672"/>
      <c r="AO464" s="672" t="s">
        <v>94</v>
      </c>
      <c r="AP464" s="672"/>
      <c r="AQ464" s="672" t="s">
        <v>94</v>
      </c>
      <c r="AR464" s="672"/>
      <c r="AS464" s="672"/>
      <c r="AT464" s="190" t="s">
        <v>129</v>
      </c>
      <c r="AU464" s="131">
        <f t="shared" ref="AU464:BB464" si="368">+V466*$J$464</f>
        <v>0</v>
      </c>
      <c r="AV464" s="131">
        <f t="shared" si="368"/>
        <v>0</v>
      </c>
      <c r="AW464" s="131">
        <f t="shared" si="368"/>
        <v>0</v>
      </c>
      <c r="AX464" s="203">
        <f t="shared" si="368"/>
        <v>0</v>
      </c>
      <c r="AY464" s="131">
        <f t="shared" si="368"/>
        <v>0</v>
      </c>
      <c r="AZ464" s="131">
        <f t="shared" si="368"/>
        <v>0</v>
      </c>
      <c r="BA464" s="131">
        <f t="shared" si="368"/>
        <v>0</v>
      </c>
      <c r="BB464" s="203">
        <f t="shared" si="368"/>
        <v>0</v>
      </c>
      <c r="BC464" s="579"/>
      <c r="BD464" s="582"/>
      <c r="BE464" s="117"/>
      <c r="BF464" s="118"/>
    </row>
    <row r="465" spans="1:181" s="120" customFormat="1" ht="66.95" customHeight="1" thickBot="1" x14ac:dyDescent="0.3">
      <c r="A465" s="675"/>
      <c r="B465" s="134"/>
      <c r="C465" s="673"/>
      <c r="D465" s="904"/>
      <c r="E465" s="689"/>
      <c r="F465" s="655"/>
      <c r="G465" s="553"/>
      <c r="H465" s="547"/>
      <c r="I465" s="884"/>
      <c r="J465" s="547"/>
      <c r="K465" s="882"/>
      <c r="L465" s="882"/>
      <c r="M465" s="553"/>
      <c r="N465" s="662"/>
      <c r="O465" s="662"/>
      <c r="P465" s="547"/>
      <c r="Q465" s="657"/>
      <c r="R465" s="547"/>
      <c r="S465" s="657"/>
      <c r="T465" s="659"/>
      <c r="U465" s="376" t="s">
        <v>752</v>
      </c>
      <c r="V465" s="377">
        <v>0.01</v>
      </c>
      <c r="W465" s="377">
        <v>0.01</v>
      </c>
      <c r="X465" s="377">
        <v>0.01</v>
      </c>
      <c r="Y465" s="1182">
        <v>4010000000</v>
      </c>
      <c r="Z465" s="301">
        <f>+V465</f>
        <v>0.01</v>
      </c>
      <c r="AA465" s="301">
        <f>+W465</f>
        <v>0.01</v>
      </c>
      <c r="AB465" s="301">
        <f>+X465</f>
        <v>0.01</v>
      </c>
      <c r="AC465" s="378">
        <f>Y465</f>
        <v>4010000000</v>
      </c>
      <c r="AD465" s="889"/>
      <c r="AE465" s="892"/>
      <c r="AF465" s="886"/>
      <c r="AG465" s="886"/>
      <c r="AH465" s="672"/>
      <c r="AI465" s="672"/>
      <c r="AJ465" s="672"/>
      <c r="AK465" s="672"/>
      <c r="AL465" s="672"/>
      <c r="AM465" s="672"/>
      <c r="AN465" s="672"/>
      <c r="AO465" s="672"/>
      <c r="AP465" s="672"/>
      <c r="AQ465" s="672"/>
      <c r="AR465" s="672"/>
      <c r="AS465" s="672"/>
      <c r="AT465" s="190" t="s">
        <v>131</v>
      </c>
      <c r="AU465" s="203">
        <f>+(AU464+AU467+AU470)*$H$464</f>
        <v>0</v>
      </c>
      <c r="AV465" s="203">
        <f t="shared" ref="AV465:BB465" si="369">+(AV464+AV467+AV470)*$H$464</f>
        <v>0</v>
      </c>
      <c r="AW465" s="203">
        <f t="shared" si="369"/>
        <v>0</v>
      </c>
      <c r="AX465" s="203">
        <f t="shared" si="369"/>
        <v>0</v>
      </c>
      <c r="AY465" s="203">
        <f t="shared" si="369"/>
        <v>0</v>
      </c>
      <c r="AZ465" s="203">
        <f t="shared" si="369"/>
        <v>0</v>
      </c>
      <c r="BA465" s="203">
        <f t="shared" si="369"/>
        <v>0</v>
      </c>
      <c r="BB465" s="265">
        <f t="shared" si="369"/>
        <v>0</v>
      </c>
      <c r="BC465" s="579"/>
      <c r="BD465" s="582"/>
      <c r="BE465" s="117"/>
      <c r="BF465" s="118"/>
    </row>
    <row r="466" spans="1:181" s="120" customFormat="1" ht="28.5" customHeight="1" thickBot="1" x14ac:dyDescent="0.3">
      <c r="A466" s="675"/>
      <c r="B466" s="134"/>
      <c r="C466" s="673"/>
      <c r="D466" s="904"/>
      <c r="E466" s="689"/>
      <c r="F466" s="655"/>
      <c r="G466" s="553"/>
      <c r="H466" s="547"/>
      <c r="I466" s="884"/>
      <c r="J466" s="548"/>
      <c r="K466" s="883"/>
      <c r="L466" s="883"/>
      <c r="M466" s="554"/>
      <c r="N466" s="663"/>
      <c r="O466" s="663"/>
      <c r="P466" s="548"/>
      <c r="Q466" s="657"/>
      <c r="R466" s="548"/>
      <c r="S466" s="657"/>
      <c r="T466" s="660"/>
      <c r="U466" s="125" t="s">
        <v>96</v>
      </c>
      <c r="V466" s="197">
        <f t="shared" ref="V466:AC466" si="370">IF((V464/V465)&lt;$I$8,(V464/V465),IF((V464/V465)&lt;$J$8,(V464/V465),IF((V464/V465)&lt;$J$9,(V464/V465),IF((V464/V465)&gt;=$J$9,$J$9))))</f>
        <v>0</v>
      </c>
      <c r="W466" s="197">
        <f t="shared" si="370"/>
        <v>0</v>
      </c>
      <c r="X466" s="197">
        <f t="shared" si="370"/>
        <v>0</v>
      </c>
      <c r="Y466" s="196">
        <f t="shared" si="370"/>
        <v>0</v>
      </c>
      <c r="Z466" s="197">
        <f t="shared" si="370"/>
        <v>0</v>
      </c>
      <c r="AA466" s="197">
        <f t="shared" si="370"/>
        <v>0</v>
      </c>
      <c r="AB466" s="197">
        <f t="shared" si="370"/>
        <v>0</v>
      </c>
      <c r="AC466" s="196">
        <f t="shared" si="370"/>
        <v>0</v>
      </c>
      <c r="AD466" s="889"/>
      <c r="AE466" s="892"/>
      <c r="AF466" s="886"/>
      <c r="AG466" s="886"/>
      <c r="AH466" s="672"/>
      <c r="AI466" s="672"/>
      <c r="AJ466" s="672"/>
      <c r="AK466" s="672"/>
      <c r="AL466" s="672"/>
      <c r="AM466" s="672"/>
      <c r="AN466" s="672"/>
      <c r="AO466" s="672"/>
      <c r="AP466" s="672"/>
      <c r="AQ466" s="672"/>
      <c r="AR466" s="672"/>
      <c r="AS466" s="672"/>
      <c r="AT466" s="190" t="s">
        <v>132</v>
      </c>
      <c r="AU466" s="203">
        <f>+AU465*$F$464</f>
        <v>0</v>
      </c>
      <c r="AV466" s="203">
        <f t="shared" ref="AV466:BB466" si="371">+AV465*$F$464</f>
        <v>0</v>
      </c>
      <c r="AW466" s="203">
        <f t="shared" si="371"/>
        <v>0</v>
      </c>
      <c r="AX466" s="203">
        <f t="shared" si="371"/>
        <v>0</v>
      </c>
      <c r="AY466" s="203">
        <f t="shared" si="371"/>
        <v>0</v>
      </c>
      <c r="AZ466" s="203">
        <f t="shared" si="371"/>
        <v>0</v>
      </c>
      <c r="BA466" s="204">
        <f t="shared" si="371"/>
        <v>0</v>
      </c>
      <c r="BB466" s="127">
        <f t="shared" si="371"/>
        <v>0</v>
      </c>
      <c r="BC466" s="579"/>
      <c r="BD466" s="582"/>
      <c r="BE466" s="117"/>
      <c r="BF466" s="118"/>
    </row>
    <row r="467" spans="1:181" s="120" customFormat="1" ht="47.1" customHeight="1" x14ac:dyDescent="0.25">
      <c r="A467" s="675"/>
      <c r="B467" s="664"/>
      <c r="C467" s="665">
        <v>6</v>
      </c>
      <c r="D467" s="904"/>
      <c r="E467" s="689"/>
      <c r="F467" s="655"/>
      <c r="G467" s="553"/>
      <c r="H467" s="547"/>
      <c r="I467" s="884" t="s">
        <v>753</v>
      </c>
      <c r="J467" s="546">
        <v>0.3</v>
      </c>
      <c r="K467" s="881" t="s">
        <v>754</v>
      </c>
      <c r="L467" s="881" t="s">
        <v>755</v>
      </c>
      <c r="M467" s="552" t="str">
        <f>CONCATENATE(U467,$U$32,U468)</f>
        <v>Procesos gestionados a cargo del Grupo de Cobro Coactivo / Número total de procesos a cargo del Grupo de Cobro Coactivo</v>
      </c>
      <c r="N467" s="661" t="s">
        <v>756</v>
      </c>
      <c r="O467" s="661" t="s">
        <v>757</v>
      </c>
      <c r="P467" s="657">
        <v>0.11</v>
      </c>
      <c r="Q467" s="657" t="s">
        <v>758</v>
      </c>
      <c r="R467" s="657">
        <v>1</v>
      </c>
      <c r="S467" s="657">
        <v>1</v>
      </c>
      <c r="T467" s="658" t="s">
        <v>151</v>
      </c>
      <c r="U467" s="112" t="s">
        <v>759</v>
      </c>
      <c r="V467" s="367"/>
      <c r="W467" s="367"/>
      <c r="X467" s="367"/>
      <c r="Y467" s="367"/>
      <c r="Z467" s="373"/>
      <c r="AA467" s="373"/>
      <c r="AB467" s="373"/>
      <c r="AC467" s="373"/>
      <c r="AD467" s="889"/>
      <c r="AE467" s="892"/>
      <c r="AF467" s="886"/>
      <c r="AG467" s="886"/>
      <c r="AH467" s="672" t="s">
        <v>751</v>
      </c>
      <c r="AI467" s="672" t="s">
        <v>751</v>
      </c>
      <c r="AJ467" s="672" t="s">
        <v>94</v>
      </c>
      <c r="AK467" s="672"/>
      <c r="AL467" s="672"/>
      <c r="AM467" s="672"/>
      <c r="AN467" s="672" t="s">
        <v>94</v>
      </c>
      <c r="AO467" s="672"/>
      <c r="AP467" s="672"/>
      <c r="AQ467" s="880"/>
      <c r="AR467" s="672" t="s">
        <v>94</v>
      </c>
      <c r="AS467" s="880"/>
      <c r="AT467" s="190" t="s">
        <v>129</v>
      </c>
      <c r="AU467" s="203">
        <f t="shared" ref="AU467:BB467" si="372">+V469*$J$467</f>
        <v>0</v>
      </c>
      <c r="AV467" s="203">
        <f t="shared" si="372"/>
        <v>0</v>
      </c>
      <c r="AW467" s="203">
        <f t="shared" si="372"/>
        <v>0</v>
      </c>
      <c r="AX467" s="203">
        <f t="shared" si="372"/>
        <v>0</v>
      </c>
      <c r="AY467" s="203">
        <f t="shared" si="372"/>
        <v>0</v>
      </c>
      <c r="AZ467" s="203">
        <f t="shared" si="372"/>
        <v>0</v>
      </c>
      <c r="BA467" s="203">
        <f t="shared" si="372"/>
        <v>0</v>
      </c>
      <c r="BB467" s="267">
        <f t="shared" si="372"/>
        <v>0</v>
      </c>
      <c r="BC467" s="579"/>
      <c r="BD467" s="582"/>
      <c r="BE467" s="117"/>
      <c r="BF467" s="118"/>
    </row>
    <row r="468" spans="1:181" s="120" customFormat="1" ht="47.1" customHeight="1" x14ac:dyDescent="0.25">
      <c r="A468" s="675"/>
      <c r="B468" s="664"/>
      <c r="C468" s="665"/>
      <c r="D468" s="904"/>
      <c r="E468" s="689"/>
      <c r="F468" s="655"/>
      <c r="G468" s="553"/>
      <c r="H468" s="547"/>
      <c r="I468" s="884"/>
      <c r="J468" s="547"/>
      <c r="K468" s="882"/>
      <c r="L468" s="882"/>
      <c r="M468" s="553"/>
      <c r="N468" s="662"/>
      <c r="O468" s="662"/>
      <c r="P468" s="657"/>
      <c r="Q468" s="657"/>
      <c r="R468" s="657"/>
      <c r="S468" s="657"/>
      <c r="T468" s="659"/>
      <c r="U468" s="121" t="s">
        <v>760</v>
      </c>
      <c r="V468" s="301">
        <v>1225</v>
      </c>
      <c r="W468" s="301">
        <v>29</v>
      </c>
      <c r="X468" s="301">
        <v>0.01</v>
      </c>
      <c r="Y468" s="301">
        <v>0.01</v>
      </c>
      <c r="Z468" s="301">
        <f>+V468</f>
        <v>1225</v>
      </c>
      <c r="AA468" s="301">
        <f>+V468+W468</f>
        <v>1254</v>
      </c>
      <c r="AB468" s="301">
        <v>0.01</v>
      </c>
      <c r="AC468" s="301">
        <v>0.01</v>
      </c>
      <c r="AD468" s="889"/>
      <c r="AE468" s="892"/>
      <c r="AF468" s="886"/>
      <c r="AG468" s="886"/>
      <c r="AH468" s="672"/>
      <c r="AI468" s="672"/>
      <c r="AJ468" s="672"/>
      <c r="AK468" s="672"/>
      <c r="AL468" s="672"/>
      <c r="AM468" s="672"/>
      <c r="AN468" s="672"/>
      <c r="AO468" s="672"/>
      <c r="AP468" s="672"/>
      <c r="AQ468" s="880"/>
      <c r="AR468" s="672"/>
      <c r="AS468" s="880"/>
      <c r="AT468" s="190" t="s">
        <v>131</v>
      </c>
      <c r="AU468" s="575"/>
      <c r="AV468" s="576"/>
      <c r="AW468" s="576"/>
      <c r="AX468" s="576"/>
      <c r="AY468" s="576"/>
      <c r="AZ468" s="576"/>
      <c r="BA468" s="576"/>
      <c r="BB468" s="577"/>
      <c r="BC468" s="579"/>
      <c r="BD468" s="582"/>
      <c r="BE468" s="117"/>
      <c r="BF468" s="118"/>
    </row>
    <row r="469" spans="1:181" s="120" customFormat="1" ht="28.5" customHeight="1" x14ac:dyDescent="0.25">
      <c r="A469" s="675"/>
      <c r="B469" s="664"/>
      <c r="C469" s="665"/>
      <c r="D469" s="904"/>
      <c r="E469" s="689"/>
      <c r="F469" s="655"/>
      <c r="G469" s="553"/>
      <c r="H469" s="547"/>
      <c r="I469" s="884"/>
      <c r="J469" s="548"/>
      <c r="K469" s="883"/>
      <c r="L469" s="883"/>
      <c r="M469" s="554"/>
      <c r="N469" s="663"/>
      <c r="O469" s="663"/>
      <c r="P469" s="657"/>
      <c r="Q469" s="657"/>
      <c r="R469" s="657"/>
      <c r="S469" s="657"/>
      <c r="T469" s="660"/>
      <c r="U469" s="125" t="s">
        <v>96</v>
      </c>
      <c r="V469" s="196">
        <f t="shared" ref="V469:AC469" si="373">IF((V467/V468)&lt;$I$8,(V467/V468),IF((V467/V468)&lt;$J$8,(V467/V468),IF((V467/V468)&lt;$J$9,(V467/V468),IF((V467/V468)&gt;=$J$9,$J$9))))</f>
        <v>0</v>
      </c>
      <c r="W469" s="196">
        <f t="shared" si="373"/>
        <v>0</v>
      </c>
      <c r="X469" s="196">
        <f t="shared" si="373"/>
        <v>0</v>
      </c>
      <c r="Y469" s="196">
        <f t="shared" si="373"/>
        <v>0</v>
      </c>
      <c r="Z469" s="196">
        <f t="shared" si="373"/>
        <v>0</v>
      </c>
      <c r="AA469" s="196">
        <f t="shared" si="373"/>
        <v>0</v>
      </c>
      <c r="AB469" s="196">
        <f t="shared" si="373"/>
        <v>0</v>
      </c>
      <c r="AC469" s="196">
        <f t="shared" si="373"/>
        <v>0</v>
      </c>
      <c r="AD469" s="889"/>
      <c r="AE469" s="892"/>
      <c r="AF469" s="886"/>
      <c r="AG469" s="886"/>
      <c r="AH469" s="672"/>
      <c r="AI469" s="672"/>
      <c r="AJ469" s="672"/>
      <c r="AK469" s="672"/>
      <c r="AL469" s="672"/>
      <c r="AM469" s="672"/>
      <c r="AN469" s="672"/>
      <c r="AO469" s="672"/>
      <c r="AP469" s="672"/>
      <c r="AQ469" s="880"/>
      <c r="AR469" s="672"/>
      <c r="AS469" s="880"/>
      <c r="AT469" s="190" t="s">
        <v>132</v>
      </c>
      <c r="AU469" s="575"/>
      <c r="AV469" s="576"/>
      <c r="AW469" s="576"/>
      <c r="AX469" s="576"/>
      <c r="AY469" s="576"/>
      <c r="AZ469" s="576"/>
      <c r="BA469" s="576"/>
      <c r="BB469" s="577"/>
      <c r="BC469" s="579"/>
      <c r="BD469" s="582"/>
      <c r="BE469" s="117"/>
      <c r="BF469" s="118"/>
    </row>
    <row r="470" spans="1:181" s="120" customFormat="1" ht="47.1" customHeight="1" x14ac:dyDescent="0.25">
      <c r="A470" s="675"/>
      <c r="B470" s="664"/>
      <c r="C470" s="673">
        <v>7</v>
      </c>
      <c r="D470" s="904"/>
      <c r="E470" s="689"/>
      <c r="F470" s="655"/>
      <c r="G470" s="553"/>
      <c r="H470" s="547"/>
      <c r="I470" s="884" t="s">
        <v>761</v>
      </c>
      <c r="J470" s="546">
        <v>0.3</v>
      </c>
      <c r="K470" s="881" t="s">
        <v>762</v>
      </c>
      <c r="L470" s="881" t="s">
        <v>763</v>
      </c>
      <c r="M470" s="552" t="str">
        <f>CONCATENATE(U470,$U$32,U471)</f>
        <v>Total de obligaciones presentadas ante el Comité Técnico de Sostenibilidad Contable y Seguimiento a la Cartera / Total de obligaciones identificadas como susceptibles de presentar ante el Comité Técnico de Sostenibilidad Contable y Seguimiento a la Cartera.</v>
      </c>
      <c r="N470" s="661" t="s">
        <v>764</v>
      </c>
      <c r="O470" s="661" t="s">
        <v>765</v>
      </c>
      <c r="P470" s="657">
        <v>0.11</v>
      </c>
      <c r="Q470" s="657" t="s">
        <v>758</v>
      </c>
      <c r="R470" s="657">
        <v>1</v>
      </c>
      <c r="S470" s="657">
        <v>1</v>
      </c>
      <c r="T470" s="658" t="s">
        <v>151</v>
      </c>
      <c r="U470" s="112" t="s">
        <v>766</v>
      </c>
      <c r="V470" s="367"/>
      <c r="W470" s="367"/>
      <c r="X470" s="367"/>
      <c r="Y470" s="367"/>
      <c r="Z470" s="373"/>
      <c r="AA470" s="373"/>
      <c r="AB470" s="373"/>
      <c r="AC470" s="373"/>
      <c r="AD470" s="889"/>
      <c r="AE470" s="892"/>
      <c r="AF470" s="886"/>
      <c r="AG470" s="886"/>
      <c r="AH470" s="672" t="s">
        <v>751</v>
      </c>
      <c r="AI470" s="672" t="s">
        <v>751</v>
      </c>
      <c r="AJ470" s="672" t="s">
        <v>94</v>
      </c>
      <c r="AK470" s="672"/>
      <c r="AL470" s="672"/>
      <c r="AM470" s="672"/>
      <c r="AN470" s="672" t="s">
        <v>94</v>
      </c>
      <c r="AO470" s="672"/>
      <c r="AP470" s="672"/>
      <c r="AQ470" s="880"/>
      <c r="AR470" s="672"/>
      <c r="AS470" s="672" t="s">
        <v>94</v>
      </c>
      <c r="AT470" s="190" t="s">
        <v>129</v>
      </c>
      <c r="AU470" s="131">
        <f t="shared" ref="AU470:BB470" si="374">+V472*$J$470</f>
        <v>0</v>
      </c>
      <c r="AV470" s="203">
        <f t="shared" si="374"/>
        <v>0</v>
      </c>
      <c r="AW470" s="131">
        <f t="shared" si="374"/>
        <v>0</v>
      </c>
      <c r="AX470" s="203">
        <f t="shared" si="374"/>
        <v>0</v>
      </c>
      <c r="AY470" s="131">
        <f t="shared" si="374"/>
        <v>0</v>
      </c>
      <c r="AZ470" s="203">
        <f t="shared" si="374"/>
        <v>0</v>
      </c>
      <c r="BA470" s="131">
        <f t="shared" si="374"/>
        <v>0</v>
      </c>
      <c r="BB470" s="203">
        <f t="shared" si="374"/>
        <v>0</v>
      </c>
      <c r="BC470" s="579"/>
      <c r="BD470" s="582"/>
      <c r="BE470" s="117"/>
      <c r="BF470" s="118"/>
    </row>
    <row r="471" spans="1:181" s="120" customFormat="1" ht="47.1" customHeight="1" x14ac:dyDescent="0.25">
      <c r="A471" s="675"/>
      <c r="B471" s="664"/>
      <c r="C471" s="673"/>
      <c r="D471" s="904"/>
      <c r="E471" s="689"/>
      <c r="F471" s="655"/>
      <c r="G471" s="553"/>
      <c r="H471" s="547"/>
      <c r="I471" s="884"/>
      <c r="J471" s="547"/>
      <c r="K471" s="882"/>
      <c r="L471" s="882"/>
      <c r="M471" s="553"/>
      <c r="N471" s="662"/>
      <c r="O471" s="662"/>
      <c r="P471" s="657"/>
      <c r="Q471" s="657"/>
      <c r="R471" s="657"/>
      <c r="S471" s="657"/>
      <c r="T471" s="659"/>
      <c r="U471" s="121" t="s">
        <v>767</v>
      </c>
      <c r="V471" s="301">
        <v>0.01</v>
      </c>
      <c r="W471" s="301">
        <v>59</v>
      </c>
      <c r="X471" s="301">
        <f>+W471</f>
        <v>59</v>
      </c>
      <c r="Y471" s="301">
        <v>0.01</v>
      </c>
      <c r="Z471" s="301">
        <v>0.01</v>
      </c>
      <c r="AA471" s="301">
        <f>+V471+W471</f>
        <v>59.01</v>
      </c>
      <c r="AB471" s="301">
        <f>+X471</f>
        <v>59</v>
      </c>
      <c r="AC471" s="301">
        <f>+W471+Y471</f>
        <v>59.01</v>
      </c>
      <c r="AD471" s="889"/>
      <c r="AE471" s="892"/>
      <c r="AF471" s="886"/>
      <c r="AG471" s="886"/>
      <c r="AH471" s="672"/>
      <c r="AI471" s="672"/>
      <c r="AJ471" s="672"/>
      <c r="AK471" s="672"/>
      <c r="AL471" s="672"/>
      <c r="AM471" s="672"/>
      <c r="AN471" s="672"/>
      <c r="AO471" s="672"/>
      <c r="AP471" s="672"/>
      <c r="AQ471" s="880"/>
      <c r="AR471" s="672"/>
      <c r="AS471" s="672"/>
      <c r="AT471" s="190" t="s">
        <v>131</v>
      </c>
      <c r="AU471" s="575"/>
      <c r="AV471" s="576"/>
      <c r="AW471" s="576"/>
      <c r="AX471" s="576"/>
      <c r="AY471" s="576"/>
      <c r="AZ471" s="576"/>
      <c r="BA471" s="576"/>
      <c r="BB471" s="577"/>
      <c r="BC471" s="579"/>
      <c r="BD471" s="582"/>
      <c r="BE471" s="117"/>
      <c r="BF471" s="118"/>
    </row>
    <row r="472" spans="1:181" s="120" customFormat="1" ht="24.95" customHeight="1" thickBot="1" x14ac:dyDescent="0.3">
      <c r="A472" s="675"/>
      <c r="B472" s="664"/>
      <c r="C472" s="673"/>
      <c r="D472" s="905"/>
      <c r="E472" s="690"/>
      <c r="F472" s="656"/>
      <c r="G472" s="554"/>
      <c r="H472" s="548"/>
      <c r="I472" s="884"/>
      <c r="J472" s="548"/>
      <c r="K472" s="883"/>
      <c r="L472" s="883"/>
      <c r="M472" s="554"/>
      <c r="N472" s="663"/>
      <c r="O472" s="663"/>
      <c r="P472" s="657"/>
      <c r="Q472" s="657"/>
      <c r="R472" s="657"/>
      <c r="S472" s="657"/>
      <c r="T472" s="660"/>
      <c r="U472" s="125" t="s">
        <v>96</v>
      </c>
      <c r="V472" s="197">
        <f>IF((V470/V471)&lt;$I$8,(V470/V471),IF((V470/V471)&lt;$J$8,(V470/V471),IF((V470/V471)&lt;$J$9,(V470/V471),IF((V470/V471)&gt;=$J$9,$J$9))))</f>
        <v>0</v>
      </c>
      <c r="W472" s="196">
        <f t="shared" ref="W472:AC472" si="375">IF((W470/W471)&lt;$I$8,(W470/W471),IF((W470/W471)&lt;$J$8,(W470/W471),IF((W470/W471)&lt;$J$9,(W470/W471),IF((W470/W471)&gt;=$J$9,$J$9))))</f>
        <v>0</v>
      </c>
      <c r="X472" s="197">
        <f>IF((X470/X471)&lt;$I$8,(X470/X471),IF((X470/X471)&lt;$J$8,(X470/X471),IF((X470/X471)&lt;$J$9,(X470/X471),IF((X470/X471)&gt;=$J$9,$J$9))))</f>
        <v>0</v>
      </c>
      <c r="Y472" s="196">
        <f t="shared" si="375"/>
        <v>0</v>
      </c>
      <c r="Z472" s="197">
        <f>IF((Z470/Z471)&lt;$I$8,(Z470/Z471),IF((Z470/Z471)&lt;$J$8,(Z470/Z471),IF((Z470/Z471)&lt;$J$9,(Z470/Z471),IF((Z470/Z471)&gt;=$J$9,$J$9))))</f>
        <v>0</v>
      </c>
      <c r="AA472" s="196">
        <f t="shared" si="375"/>
        <v>0</v>
      </c>
      <c r="AB472" s="197">
        <f>IF((AB470/AB471)&lt;$I$8,(AB470/AB471),IF((AB470/AB471)&lt;$J$8,(AB470/AB471),IF((AB470/AB471)&lt;$J$9,(AB470/AB471),IF((AB470/AB471)&gt;=$J$9,$J$9))))</f>
        <v>0</v>
      </c>
      <c r="AC472" s="196">
        <f t="shared" si="375"/>
        <v>0</v>
      </c>
      <c r="AD472" s="890"/>
      <c r="AE472" s="893"/>
      <c r="AF472" s="887"/>
      <c r="AG472" s="887"/>
      <c r="AH472" s="672"/>
      <c r="AI472" s="672"/>
      <c r="AJ472" s="672"/>
      <c r="AK472" s="672"/>
      <c r="AL472" s="672"/>
      <c r="AM472" s="672"/>
      <c r="AN472" s="672"/>
      <c r="AO472" s="672"/>
      <c r="AP472" s="672"/>
      <c r="AQ472" s="880"/>
      <c r="AR472" s="672"/>
      <c r="AS472" s="672"/>
      <c r="AT472" s="190" t="s">
        <v>132</v>
      </c>
      <c r="AU472" s="599"/>
      <c r="AV472" s="600"/>
      <c r="AW472" s="600"/>
      <c r="AX472" s="600"/>
      <c r="AY472" s="600"/>
      <c r="AZ472" s="600"/>
      <c r="BA472" s="600"/>
      <c r="BB472" s="601"/>
      <c r="BC472" s="580"/>
      <c r="BD472" s="583"/>
      <c r="BE472" s="117"/>
      <c r="BF472" s="118"/>
    </row>
    <row r="473" spans="1:181" s="159" customFormat="1" ht="24.95" hidden="1" customHeight="1" thickBot="1" x14ac:dyDescent="0.3">
      <c r="A473" s="44"/>
      <c r="B473" s="151"/>
      <c r="C473" s="178">
        <f>+C470+C439</f>
        <v>90</v>
      </c>
      <c r="D473" s="144"/>
      <c r="E473" s="67"/>
      <c r="F473" s="154"/>
      <c r="G473" s="154"/>
      <c r="H473" s="154"/>
      <c r="I473" s="155"/>
      <c r="J473" s="154"/>
      <c r="K473" s="155"/>
      <c r="L473" s="155"/>
      <c r="M473" s="155"/>
      <c r="N473" s="155"/>
      <c r="O473" s="155"/>
      <c r="P473" s="154"/>
      <c r="Q473" s="154"/>
      <c r="R473" s="154"/>
      <c r="S473" s="154"/>
      <c r="T473" s="154"/>
      <c r="U473" s="214"/>
      <c r="V473" s="157"/>
      <c r="W473" s="157"/>
      <c r="X473" s="157"/>
      <c r="Y473" s="157"/>
      <c r="Z473" s="157"/>
      <c r="AA473" s="157"/>
      <c r="AB473" s="157"/>
      <c r="AC473" s="157"/>
      <c r="AD473" s="158"/>
      <c r="AE473" s="157"/>
      <c r="AF473" s="157"/>
      <c r="AG473" s="157"/>
      <c r="AH473" s="157"/>
      <c r="AI473" s="157"/>
      <c r="AJ473" s="145">
        <f>COUNTA(AJ452:AJ472)</f>
        <v>7</v>
      </c>
      <c r="AK473" s="145">
        <f t="shared" ref="AK473:AS473" si="376">COUNTA(AK452:AK472)</f>
        <v>0</v>
      </c>
      <c r="AL473" s="145">
        <f t="shared" si="376"/>
        <v>1</v>
      </c>
      <c r="AM473" s="145">
        <f t="shared" si="376"/>
        <v>0</v>
      </c>
      <c r="AN473" s="145">
        <f t="shared" si="376"/>
        <v>2</v>
      </c>
      <c r="AO473" s="145">
        <f t="shared" si="376"/>
        <v>5</v>
      </c>
      <c r="AP473" s="145">
        <f t="shared" si="376"/>
        <v>0</v>
      </c>
      <c r="AQ473" s="145">
        <f t="shared" si="376"/>
        <v>5</v>
      </c>
      <c r="AR473" s="145">
        <f t="shared" si="376"/>
        <v>1</v>
      </c>
      <c r="AS473" s="145">
        <f t="shared" si="376"/>
        <v>1</v>
      </c>
      <c r="AT473" s="157"/>
      <c r="AU473" s="358">
        <f>+AU454+AU466</f>
        <v>0</v>
      </c>
      <c r="AV473" s="358">
        <f t="shared" ref="AV473:BB473" si="377">+AV454+AV466</f>
        <v>0</v>
      </c>
      <c r="AW473" s="358">
        <f t="shared" si="377"/>
        <v>0</v>
      </c>
      <c r="AX473" s="359">
        <f t="shared" si="377"/>
        <v>0</v>
      </c>
      <c r="AY473" s="360">
        <f t="shared" si="377"/>
        <v>0</v>
      </c>
      <c r="AZ473" s="361">
        <f t="shared" si="377"/>
        <v>0</v>
      </c>
      <c r="BA473" s="358">
        <f t="shared" si="377"/>
        <v>0</v>
      </c>
      <c r="BB473" s="358">
        <f t="shared" si="377"/>
        <v>0</v>
      </c>
      <c r="BC473" s="157"/>
      <c r="BD473" s="157"/>
      <c r="BE473" s="157"/>
      <c r="BF473" s="157"/>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row>
    <row r="474" spans="1:181" s="159" customFormat="1" ht="20.100000000000001" hidden="1" customHeight="1" x14ac:dyDescent="0.25">
      <c r="A474" s="271"/>
      <c r="B474" s="272"/>
      <c r="C474" s="379"/>
      <c r="D474" s="273"/>
      <c r="E474" s="273"/>
      <c r="F474" s="154"/>
      <c r="G474" s="154"/>
      <c r="H474" s="154"/>
      <c r="I474" s="155"/>
      <c r="J474" s="154"/>
      <c r="K474" s="155"/>
      <c r="L474" s="155"/>
      <c r="M474" s="155"/>
      <c r="N474" s="155"/>
      <c r="O474" s="155"/>
      <c r="P474" s="155"/>
      <c r="Q474" s="646" t="s">
        <v>154</v>
      </c>
      <c r="R474" s="646"/>
      <c r="S474" s="646"/>
      <c r="T474" s="646"/>
      <c r="U474" s="646"/>
      <c r="V474" s="156">
        <v>4</v>
      </c>
      <c r="W474" s="156">
        <v>6</v>
      </c>
      <c r="X474" s="156">
        <v>4</v>
      </c>
      <c r="Y474" s="156">
        <f>+C470</f>
        <v>7</v>
      </c>
      <c r="Z474" s="157"/>
      <c r="AA474" s="157"/>
      <c r="AB474" s="157"/>
      <c r="AC474" s="157"/>
      <c r="AD474" s="158"/>
      <c r="AE474" s="157"/>
      <c r="AF474" s="157"/>
      <c r="AG474" s="157"/>
      <c r="AH474" s="157"/>
      <c r="AI474" s="157"/>
      <c r="AJ474" s="157"/>
      <c r="AK474" s="157"/>
      <c r="AL474" s="157"/>
      <c r="AM474" s="157"/>
      <c r="AN474" s="157"/>
      <c r="AO474" s="157"/>
      <c r="AP474" s="157"/>
      <c r="AQ474" s="157"/>
      <c r="AR474" s="157"/>
      <c r="AS474" s="157"/>
      <c r="AT474" s="157"/>
      <c r="AU474" s="157"/>
      <c r="AV474" s="157"/>
      <c r="AW474" s="157"/>
      <c r="AX474" s="157"/>
      <c r="AY474" s="157"/>
      <c r="AZ474" s="157"/>
      <c r="BA474" s="157"/>
      <c r="BB474" s="157"/>
      <c r="BC474" s="157"/>
      <c r="BD474" s="157"/>
      <c r="BE474" s="157"/>
      <c r="BF474" s="157"/>
      <c r="BG474" s="50"/>
      <c r="BH474" s="50"/>
      <c r="BI474" s="50"/>
      <c r="BJ474" s="50"/>
      <c r="BK474" s="50"/>
      <c r="BL474" s="50"/>
      <c r="BM474" s="50"/>
      <c r="BN474" s="50"/>
      <c r="BO474" s="50"/>
      <c r="BP474" s="50"/>
      <c r="BQ474" s="50"/>
      <c r="BR474" s="50"/>
      <c r="BS474" s="50"/>
      <c r="BT474" s="50"/>
      <c r="BU474" s="50"/>
      <c r="BV474" s="50"/>
      <c r="BW474" s="50"/>
      <c r="BX474" s="50"/>
      <c r="BY474" s="50"/>
      <c r="BZ474" s="50"/>
      <c r="CA474" s="50"/>
      <c r="CB474" s="50"/>
      <c r="CC474" s="50"/>
      <c r="CD474" s="50"/>
      <c r="CE474" s="50"/>
      <c r="CF474" s="50"/>
      <c r="CG474" s="50"/>
      <c r="CH474" s="50"/>
      <c r="CI474" s="50"/>
      <c r="CJ474" s="50"/>
      <c r="CK474" s="50"/>
      <c r="CL474" s="50"/>
      <c r="CM474" s="50"/>
      <c r="CN474" s="50"/>
      <c r="CO474" s="50"/>
      <c r="CP474" s="50"/>
      <c r="CQ474" s="50"/>
      <c r="CR474" s="50"/>
      <c r="CS474" s="50"/>
      <c r="CT474" s="50"/>
      <c r="CU474" s="50"/>
      <c r="CV474" s="50"/>
      <c r="CW474" s="50"/>
      <c r="CX474" s="50"/>
      <c r="CY474" s="50"/>
      <c r="CZ474" s="50"/>
      <c r="DA474" s="50"/>
      <c r="DB474" s="50"/>
      <c r="DC474" s="50"/>
      <c r="DD474" s="50"/>
      <c r="DE474" s="50"/>
      <c r="DF474" s="50"/>
      <c r="DG474" s="50"/>
      <c r="DH474" s="50"/>
      <c r="DI474" s="50"/>
      <c r="DJ474" s="50"/>
      <c r="DK474" s="50"/>
      <c r="DL474" s="50"/>
      <c r="DM474" s="50"/>
      <c r="DN474" s="50"/>
      <c r="DO474" s="50"/>
      <c r="DP474" s="50"/>
      <c r="DQ474" s="50"/>
      <c r="DR474" s="50"/>
      <c r="DS474" s="50"/>
      <c r="DT474" s="50"/>
      <c r="DU474" s="50"/>
      <c r="DV474" s="50"/>
      <c r="DW474" s="50"/>
      <c r="DX474" s="50"/>
      <c r="DY474" s="50"/>
      <c r="DZ474" s="50"/>
      <c r="EA474" s="50"/>
      <c r="EB474" s="50"/>
      <c r="EC474" s="50"/>
      <c r="ED474" s="50"/>
      <c r="EE474" s="50"/>
      <c r="EF474" s="50"/>
      <c r="EG474" s="50"/>
      <c r="EH474" s="50"/>
      <c r="EI474" s="50"/>
      <c r="EJ474" s="50"/>
      <c r="EK474" s="50"/>
      <c r="EL474" s="50"/>
      <c r="EM474" s="50"/>
      <c r="EN474" s="50"/>
      <c r="EO474" s="50"/>
      <c r="EP474" s="50"/>
      <c r="EQ474" s="50"/>
      <c r="ER474" s="50"/>
      <c r="ES474" s="50"/>
      <c r="ET474" s="50"/>
      <c r="EU474" s="50"/>
      <c r="EV474" s="50"/>
      <c r="EW474" s="50"/>
      <c r="EX474" s="50"/>
      <c r="EY474" s="50"/>
      <c r="EZ474" s="50"/>
      <c r="FA474" s="50"/>
      <c r="FB474" s="50"/>
      <c r="FC474" s="50"/>
      <c r="FD474" s="50"/>
      <c r="FE474" s="50"/>
      <c r="FF474" s="50"/>
      <c r="FG474" s="50"/>
      <c r="FH474" s="50"/>
      <c r="FI474" s="50"/>
      <c r="FJ474" s="50"/>
      <c r="FK474" s="50"/>
      <c r="FL474" s="50"/>
      <c r="FM474" s="50"/>
      <c r="FN474" s="50"/>
      <c r="FO474" s="50"/>
      <c r="FP474" s="50"/>
      <c r="FQ474" s="50"/>
      <c r="FR474" s="50"/>
      <c r="FS474" s="50"/>
      <c r="FT474" s="50"/>
      <c r="FU474" s="50"/>
      <c r="FV474" s="50"/>
      <c r="FW474" s="50"/>
      <c r="FX474" s="50"/>
      <c r="FY474" s="50"/>
    </row>
    <row r="475" spans="1:181" ht="20.100000000000001" hidden="1" customHeight="1" x14ac:dyDescent="0.25">
      <c r="A475" s="271"/>
      <c r="B475" s="272"/>
      <c r="C475" s="107"/>
      <c r="D475" s="273"/>
      <c r="E475" s="273"/>
      <c r="F475" s="154"/>
      <c r="G475" s="154"/>
      <c r="H475" s="154"/>
      <c r="I475" s="155"/>
      <c r="J475" s="154"/>
      <c r="K475" s="155"/>
      <c r="L475" s="155"/>
      <c r="M475" s="155"/>
      <c r="N475" s="155"/>
      <c r="O475" s="155"/>
      <c r="P475" s="155"/>
      <c r="Q475" s="646" t="s">
        <v>155</v>
      </c>
      <c r="R475" s="646"/>
      <c r="S475" s="646"/>
      <c r="T475" s="646"/>
      <c r="U475" s="646"/>
      <c r="V475" s="161">
        <f>3+1</f>
        <v>4</v>
      </c>
      <c r="W475" s="161">
        <v>6</v>
      </c>
      <c r="X475" s="161"/>
      <c r="Y475" s="161"/>
      <c r="Z475" s="157"/>
      <c r="AA475" s="157"/>
      <c r="AB475" s="157"/>
      <c r="AC475" s="157"/>
      <c r="AD475" s="158"/>
      <c r="AE475" s="157"/>
      <c r="AF475" s="157"/>
      <c r="AG475" s="157"/>
      <c r="AH475" s="157"/>
      <c r="AI475" s="157"/>
      <c r="AJ475" s="157"/>
      <c r="AK475" s="157"/>
      <c r="AL475" s="157"/>
      <c r="AM475" s="157"/>
      <c r="AN475" s="157"/>
      <c r="AO475" s="157"/>
      <c r="AP475" s="157"/>
      <c r="AQ475" s="157"/>
      <c r="AR475" s="157"/>
      <c r="AS475" s="157"/>
      <c r="AT475" s="157"/>
      <c r="AU475" s="157"/>
      <c r="AV475" s="157"/>
      <c r="AW475" s="157"/>
      <c r="AX475" s="157"/>
      <c r="AY475" s="157"/>
      <c r="AZ475" s="157"/>
      <c r="BA475" s="157"/>
      <c r="BB475" s="157"/>
      <c r="BC475" s="157"/>
      <c r="BD475" s="157"/>
      <c r="BE475" s="157"/>
      <c r="BF475" s="157"/>
    </row>
    <row r="476" spans="1:181" ht="20.100000000000001" hidden="1" customHeight="1" x14ac:dyDescent="0.25">
      <c r="A476" s="271"/>
      <c r="B476" s="272"/>
      <c r="C476" s="107"/>
      <c r="D476" s="273"/>
      <c r="E476" s="273"/>
      <c r="F476" s="154"/>
      <c r="G476" s="154"/>
      <c r="H476" s="154"/>
      <c r="I476" s="155"/>
      <c r="J476" s="154"/>
      <c r="K476" s="155"/>
      <c r="L476" s="155"/>
      <c r="M476" s="155"/>
      <c r="N476" s="155"/>
      <c r="O476" s="155"/>
      <c r="P476" s="155"/>
      <c r="Q476" s="646" t="s">
        <v>156</v>
      </c>
      <c r="R476" s="646"/>
      <c r="S476" s="646"/>
      <c r="T476" s="646"/>
      <c r="U476" s="646"/>
      <c r="V476" s="161">
        <v>1</v>
      </c>
      <c r="W476" s="161">
        <v>0</v>
      </c>
      <c r="X476" s="161"/>
      <c r="Y476" s="161"/>
      <c r="Z476" s="157"/>
      <c r="AA476" s="157"/>
      <c r="AB476" s="157"/>
      <c r="AC476" s="157"/>
      <c r="AD476" s="158"/>
      <c r="AE476" s="157"/>
      <c r="AF476" s="157"/>
      <c r="AG476" s="157"/>
      <c r="AH476" s="157"/>
      <c r="AI476" s="157"/>
      <c r="AJ476" s="157"/>
      <c r="AK476" s="157"/>
      <c r="AL476" s="157"/>
      <c r="AM476" s="157"/>
      <c r="AN476" s="157"/>
      <c r="AO476" s="157"/>
      <c r="AP476" s="157"/>
      <c r="AQ476" s="157"/>
      <c r="AR476" s="157"/>
      <c r="AS476" s="157"/>
      <c r="AT476" s="157"/>
      <c r="AU476" s="157"/>
      <c r="AV476" s="157"/>
      <c r="AW476" s="157"/>
      <c r="AX476" s="157"/>
      <c r="AY476" s="157"/>
      <c r="AZ476" s="157"/>
      <c r="BA476" s="157"/>
      <c r="BB476" s="157"/>
      <c r="BC476" s="157"/>
      <c r="BD476" s="157"/>
      <c r="BE476" s="157"/>
      <c r="BF476" s="157"/>
    </row>
    <row r="477" spans="1:181" ht="20.100000000000001" hidden="1" customHeight="1" x14ac:dyDescent="0.25">
      <c r="A477" s="271"/>
      <c r="B477" s="272"/>
      <c r="C477" s="107"/>
      <c r="D477" s="273"/>
      <c r="E477" s="273"/>
      <c r="F477" s="154"/>
      <c r="G477" s="154"/>
      <c r="H477" s="154"/>
      <c r="I477" s="155"/>
      <c r="J477" s="154"/>
      <c r="K477" s="155"/>
      <c r="L477" s="155"/>
      <c r="M477" s="155"/>
      <c r="N477" s="155"/>
      <c r="O477" s="155"/>
      <c r="P477" s="155"/>
      <c r="Q477" s="646" t="s">
        <v>157</v>
      </c>
      <c r="R477" s="646"/>
      <c r="S477" s="646"/>
      <c r="T477" s="646"/>
      <c r="U477" s="647"/>
      <c r="V477" s="161">
        <f>+V474-V475</f>
        <v>0</v>
      </c>
      <c r="W477" s="161">
        <f>+W474-W475</f>
        <v>0</v>
      </c>
      <c r="X477" s="161">
        <f>+X474-X475</f>
        <v>4</v>
      </c>
      <c r="Y477" s="161">
        <f>+Y474-Y475</f>
        <v>7</v>
      </c>
      <c r="Z477" s="157"/>
      <c r="AA477" s="157"/>
      <c r="AB477" s="157"/>
      <c r="AC477" s="157"/>
      <c r="AD477" s="158"/>
      <c r="AE477" s="157"/>
      <c r="AF477" s="157"/>
      <c r="AG477" s="157"/>
      <c r="AH477" s="157"/>
      <c r="AI477" s="157"/>
      <c r="AJ477" s="157"/>
      <c r="AK477" s="157"/>
      <c r="AL477" s="157"/>
      <c r="AM477" s="157"/>
      <c r="AN477" s="157"/>
      <c r="AO477" s="157"/>
      <c r="AP477" s="157"/>
      <c r="AQ477" s="157"/>
      <c r="AR477" s="157"/>
      <c r="AS477" s="157"/>
      <c r="AT477" s="157"/>
      <c r="AU477" s="157"/>
      <c r="AV477" s="157"/>
      <c r="AW477" s="157"/>
      <c r="AX477" s="157"/>
      <c r="AY477" s="157"/>
      <c r="AZ477" s="157"/>
      <c r="BA477" s="157"/>
      <c r="BB477" s="157"/>
      <c r="BC477" s="157"/>
      <c r="BD477" s="157"/>
      <c r="BE477" s="157"/>
      <c r="BF477" s="157"/>
    </row>
    <row r="478" spans="1:181" ht="20.100000000000001" hidden="1" customHeight="1" x14ac:dyDescent="0.25">
      <c r="A478" s="271"/>
      <c r="B478" s="272"/>
      <c r="C478" s="107"/>
      <c r="D478" s="273"/>
      <c r="E478" s="273"/>
      <c r="F478" s="154"/>
      <c r="G478" s="154"/>
      <c r="H478" s="154"/>
      <c r="I478" s="155"/>
      <c r="J478" s="154"/>
      <c r="K478" s="155"/>
      <c r="L478" s="155"/>
      <c r="M478" s="155"/>
      <c r="N478" s="155"/>
      <c r="O478" s="155"/>
      <c r="P478" s="155"/>
      <c r="Q478" s="646" t="s">
        <v>158</v>
      </c>
      <c r="R478" s="646"/>
      <c r="S478" s="646"/>
      <c r="T478" s="646"/>
      <c r="U478" s="646"/>
      <c r="V478" s="156">
        <f>+V474</f>
        <v>4</v>
      </c>
      <c r="W478" s="156">
        <f>+W474</f>
        <v>6</v>
      </c>
      <c r="X478" s="156">
        <f>+X474</f>
        <v>4</v>
      </c>
      <c r="Y478" s="156">
        <f>+Y474</f>
        <v>7</v>
      </c>
      <c r="Z478" s="157"/>
      <c r="AA478" s="157"/>
      <c r="AB478" s="157"/>
      <c r="AC478" s="157"/>
      <c r="AD478" s="158"/>
      <c r="AE478" s="157"/>
      <c r="AF478" s="157"/>
      <c r="AG478" s="157"/>
      <c r="AH478" s="157"/>
      <c r="AI478" s="157"/>
      <c r="AJ478" s="157"/>
      <c r="AK478" s="157"/>
      <c r="AL478" s="157"/>
      <c r="AM478" s="157"/>
      <c r="AN478" s="157"/>
      <c r="AO478" s="157"/>
      <c r="AP478" s="157"/>
      <c r="AQ478" s="157"/>
      <c r="AR478" s="157"/>
      <c r="AS478" s="157"/>
      <c r="AT478" s="157"/>
      <c r="AU478" s="157"/>
      <c r="AV478" s="157"/>
      <c r="AW478" s="157"/>
      <c r="AX478" s="157"/>
      <c r="AY478" s="157"/>
      <c r="AZ478" s="157"/>
      <c r="BA478" s="157"/>
      <c r="BB478" s="157"/>
      <c r="BC478" s="157"/>
      <c r="BD478" s="157"/>
      <c r="BE478" s="157"/>
      <c r="BF478" s="157"/>
    </row>
    <row r="479" spans="1:181" ht="20.100000000000001" hidden="1" customHeight="1" x14ac:dyDescent="0.25">
      <c r="A479" s="271"/>
      <c r="B479" s="272"/>
      <c r="C479" s="107"/>
      <c r="D479" s="273"/>
      <c r="E479" s="273"/>
      <c r="F479" s="154"/>
      <c r="G479" s="154"/>
      <c r="H479" s="154"/>
      <c r="I479" s="155"/>
      <c r="J479" s="154"/>
      <c r="K479" s="155"/>
      <c r="L479" s="155"/>
      <c r="M479" s="155"/>
      <c r="N479" s="155"/>
      <c r="O479" s="155"/>
      <c r="P479" s="155"/>
      <c r="Q479" s="646" t="s">
        <v>159</v>
      </c>
      <c r="R479" s="646"/>
      <c r="S479" s="646"/>
      <c r="T479" s="646"/>
      <c r="U479" s="646"/>
      <c r="V479" s="161">
        <v>4</v>
      </c>
      <c r="W479" s="161">
        <v>4</v>
      </c>
      <c r="X479" s="161"/>
      <c r="Y479" s="161"/>
      <c r="Z479" s="157"/>
      <c r="AA479" s="157"/>
      <c r="AB479" s="157"/>
      <c r="AC479" s="157"/>
      <c r="AD479" s="158"/>
      <c r="AE479" s="157"/>
      <c r="AF479" s="157"/>
      <c r="AG479" s="157"/>
      <c r="AH479" s="157"/>
      <c r="AI479" s="157"/>
      <c r="AJ479" s="157"/>
      <c r="AK479" s="157"/>
      <c r="AL479" s="157"/>
      <c r="AM479" s="157"/>
      <c r="AN479" s="157"/>
      <c r="AO479" s="157"/>
      <c r="AP479" s="157"/>
      <c r="AQ479" s="157"/>
      <c r="AR479" s="157"/>
      <c r="AS479" s="157"/>
      <c r="AT479" s="157"/>
      <c r="AU479" s="157"/>
      <c r="AV479" s="157"/>
      <c r="AW479" s="157"/>
      <c r="AX479" s="157"/>
      <c r="AY479" s="157"/>
      <c r="AZ479" s="157"/>
      <c r="BA479" s="157"/>
      <c r="BB479" s="157"/>
      <c r="BC479" s="157"/>
      <c r="BD479" s="157"/>
      <c r="BE479" s="157"/>
      <c r="BF479" s="157"/>
    </row>
    <row r="480" spans="1:181" ht="15" hidden="1" customHeight="1" x14ac:dyDescent="0.25">
      <c r="A480" s="79"/>
      <c r="B480" s="80"/>
      <c r="C480" s="88"/>
      <c r="D480" s="82"/>
      <c r="E480" s="82"/>
      <c r="F480" s="46"/>
      <c r="G480" s="46"/>
      <c r="H480" s="46"/>
      <c r="I480" s="46"/>
      <c r="J480" s="83"/>
      <c r="K480" s="46"/>
      <c r="L480" s="46"/>
      <c r="M480" s="155"/>
      <c r="N480" s="155"/>
      <c r="O480" s="155"/>
      <c r="P480" s="46"/>
      <c r="Q480" s="46"/>
      <c r="R480" s="46"/>
      <c r="S480" s="46"/>
      <c r="T480" s="46"/>
      <c r="U480" s="46"/>
      <c r="V480" s="73"/>
      <c r="W480" s="73"/>
      <c r="X480" s="73"/>
      <c r="Y480" s="73"/>
      <c r="Z480" s="46"/>
      <c r="AA480" s="46"/>
      <c r="AB480" s="46"/>
      <c r="AC480" s="46"/>
      <c r="AD480" s="47"/>
      <c r="AE480" s="48"/>
      <c r="AF480" s="48"/>
      <c r="AG480" s="48"/>
      <c r="AH480" s="48"/>
      <c r="AI480" s="48"/>
      <c r="AJ480" s="48"/>
      <c r="AK480" s="48"/>
      <c r="AL480" s="48"/>
      <c r="AM480" s="48"/>
      <c r="AN480" s="48"/>
      <c r="AO480" s="48"/>
      <c r="AP480" s="48"/>
      <c r="AQ480" s="48"/>
      <c r="AR480" s="48"/>
      <c r="AS480" s="48"/>
      <c r="AT480" s="157"/>
      <c r="AU480" s="48"/>
      <c r="AV480" s="48"/>
      <c r="AW480" s="48"/>
      <c r="AX480" s="48"/>
      <c r="AY480" s="48"/>
      <c r="AZ480" s="48"/>
      <c r="BA480" s="48"/>
      <c r="BB480" s="48"/>
      <c r="BC480" s="48"/>
      <c r="BD480" s="48"/>
      <c r="BE480" s="48"/>
      <c r="BF480" s="49"/>
    </row>
    <row r="481" spans="1:58" ht="20.100000000000001" hidden="1" customHeight="1" x14ac:dyDescent="0.25">
      <c r="A481" s="79"/>
      <c r="B481" s="80"/>
      <c r="C481" s="85"/>
      <c r="D481" s="109" t="s">
        <v>103</v>
      </c>
      <c r="E481" s="82"/>
      <c r="F481" s="46"/>
      <c r="G481" s="46"/>
      <c r="H481" s="46"/>
      <c r="I481" s="46"/>
      <c r="J481" s="83"/>
      <c r="K481" s="46"/>
      <c r="L481" s="46"/>
      <c r="M481" s="46"/>
      <c r="N481" s="46"/>
      <c r="O481" s="46"/>
      <c r="P481" s="46"/>
      <c r="Q481" s="46"/>
      <c r="R481" s="46"/>
      <c r="S481" s="46"/>
      <c r="T481" s="46"/>
      <c r="U481" s="46"/>
      <c r="V481" s="42"/>
      <c r="W481" s="46"/>
      <c r="X481" s="46"/>
      <c r="Y481" s="46"/>
      <c r="Z481" s="46"/>
      <c r="AA481" s="46"/>
      <c r="AB481" s="46"/>
      <c r="AC481" s="46"/>
      <c r="AD481" s="47"/>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9"/>
    </row>
    <row r="482" spans="1:58" ht="20.100000000000001" customHeight="1" x14ac:dyDescent="0.25">
      <c r="A482" s="79"/>
      <c r="B482" s="80"/>
      <c r="C482" s="85"/>
      <c r="D482" s="745" t="s">
        <v>38</v>
      </c>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c r="AA482" s="745"/>
      <c r="AB482" s="745"/>
      <c r="AC482" s="745"/>
      <c r="AD482" s="745"/>
      <c r="AE482" s="745"/>
      <c r="AF482" s="745"/>
      <c r="AG482" s="745"/>
      <c r="AH482" s="745"/>
      <c r="AI482" s="745"/>
      <c r="AJ482" s="745"/>
      <c r="AK482" s="745"/>
      <c r="AL482" s="745"/>
      <c r="AM482" s="745"/>
      <c r="AN482" s="745"/>
      <c r="AO482" s="745"/>
      <c r="AP482" s="745"/>
      <c r="AQ482" s="745"/>
      <c r="AR482" s="745"/>
      <c r="AS482" s="745"/>
      <c r="AT482" s="561" t="s">
        <v>104</v>
      </c>
      <c r="AU482" s="563"/>
      <c r="AV482" s="563"/>
      <c r="AW482" s="563"/>
      <c r="AX482" s="563"/>
      <c r="AY482" s="563"/>
      <c r="AZ482" s="563"/>
      <c r="BA482" s="563"/>
      <c r="BB482" s="562"/>
      <c r="BC482" s="561" t="s">
        <v>105</v>
      </c>
      <c r="BD482" s="562"/>
      <c r="BE482" s="48"/>
      <c r="BF482" s="49"/>
    </row>
    <row r="483" spans="1:58" ht="15" customHeight="1" x14ac:dyDescent="0.25">
      <c r="A483" s="79"/>
      <c r="B483" s="80"/>
      <c r="C483" s="85"/>
      <c r="D483" s="691" t="s">
        <v>106</v>
      </c>
      <c r="E483" s="691" t="s">
        <v>107</v>
      </c>
      <c r="F483" s="711" t="s">
        <v>108</v>
      </c>
      <c r="G483" s="691" t="s">
        <v>109</v>
      </c>
      <c r="H483" s="711" t="s">
        <v>110</v>
      </c>
      <c r="I483" s="691" t="s">
        <v>51</v>
      </c>
      <c r="J483" s="712" t="s">
        <v>111</v>
      </c>
      <c r="K483" s="691" t="s">
        <v>52</v>
      </c>
      <c r="L483" s="691"/>
      <c r="M483" s="691"/>
      <c r="N483" s="691" t="s">
        <v>53</v>
      </c>
      <c r="O483" s="691" t="s">
        <v>54</v>
      </c>
      <c r="P483" s="703" t="s">
        <v>55</v>
      </c>
      <c r="Q483" s="703" t="s">
        <v>56</v>
      </c>
      <c r="R483" s="703" t="s">
        <v>57</v>
      </c>
      <c r="S483" s="703" t="s">
        <v>58</v>
      </c>
      <c r="T483" s="703" t="s">
        <v>59</v>
      </c>
      <c r="U483" s="691" t="s">
        <v>60</v>
      </c>
      <c r="V483" s="691"/>
      <c r="W483" s="691"/>
      <c r="X483" s="691"/>
      <c r="Y483" s="691"/>
      <c r="Z483" s="704" t="s">
        <v>61</v>
      </c>
      <c r="AA483" s="705"/>
      <c r="AB483" s="705"/>
      <c r="AC483" s="706"/>
      <c r="AD483" s="707" t="s">
        <v>62</v>
      </c>
      <c r="AE483" s="708"/>
      <c r="AF483" s="709"/>
      <c r="AG483" s="695" t="s">
        <v>63</v>
      </c>
      <c r="AH483" s="695" t="s">
        <v>64</v>
      </c>
      <c r="AI483" s="695" t="s">
        <v>65</v>
      </c>
      <c r="AJ483" s="697" t="s">
        <v>66</v>
      </c>
      <c r="AK483" s="697"/>
      <c r="AL483" s="697"/>
      <c r="AM483" s="697"/>
      <c r="AN483" s="699"/>
      <c r="AO483" s="699"/>
      <c r="AP483" s="699"/>
      <c r="AQ483" s="699"/>
      <c r="AR483" s="699"/>
      <c r="AS483" s="700"/>
      <c r="AT483" s="558" t="s">
        <v>60</v>
      </c>
      <c r="AU483" s="569" t="s">
        <v>112</v>
      </c>
      <c r="AV483" s="570"/>
      <c r="AW483" s="570"/>
      <c r="AX483" s="571"/>
      <c r="AY483" s="569" t="s">
        <v>113</v>
      </c>
      <c r="AZ483" s="570"/>
      <c r="BA483" s="570"/>
      <c r="BB483" s="571"/>
      <c r="BC483" s="584" t="s">
        <v>114</v>
      </c>
      <c r="BD483" s="587" t="s">
        <v>102</v>
      </c>
      <c r="BE483" s="48"/>
      <c r="BF483" s="49"/>
    </row>
    <row r="484" spans="1:58" ht="15" customHeight="1" x14ac:dyDescent="0.25">
      <c r="A484" s="79"/>
      <c r="B484" s="80"/>
      <c r="C484" s="85"/>
      <c r="D484" s="691"/>
      <c r="E484" s="691"/>
      <c r="F484" s="711"/>
      <c r="G484" s="691"/>
      <c r="H484" s="711"/>
      <c r="I484" s="691"/>
      <c r="J484" s="712"/>
      <c r="K484" s="691"/>
      <c r="L484" s="691"/>
      <c r="M484" s="691"/>
      <c r="N484" s="691"/>
      <c r="O484" s="691"/>
      <c r="P484" s="703"/>
      <c r="Q484" s="703"/>
      <c r="R484" s="703"/>
      <c r="S484" s="703"/>
      <c r="T484" s="703"/>
      <c r="U484" s="691" t="s">
        <v>67</v>
      </c>
      <c r="V484" s="691"/>
      <c r="W484" s="691"/>
      <c r="X484" s="691"/>
      <c r="Y484" s="691"/>
      <c r="Z484" s="692" t="s">
        <v>67</v>
      </c>
      <c r="AA484" s="693"/>
      <c r="AB484" s="693"/>
      <c r="AC484" s="694"/>
      <c r="AD484" s="695" t="s">
        <v>68</v>
      </c>
      <c r="AE484" s="695" t="s">
        <v>69</v>
      </c>
      <c r="AF484" s="695" t="s">
        <v>70</v>
      </c>
      <c r="AG484" s="696"/>
      <c r="AH484" s="696"/>
      <c r="AI484" s="696"/>
      <c r="AJ484" s="698"/>
      <c r="AK484" s="698"/>
      <c r="AL484" s="698"/>
      <c r="AM484" s="698"/>
      <c r="AN484" s="701"/>
      <c r="AO484" s="701"/>
      <c r="AP484" s="701"/>
      <c r="AQ484" s="701"/>
      <c r="AR484" s="701"/>
      <c r="AS484" s="702"/>
      <c r="AT484" s="559"/>
      <c r="AU484" s="572"/>
      <c r="AV484" s="573"/>
      <c r="AW484" s="573"/>
      <c r="AX484" s="574"/>
      <c r="AY484" s="572"/>
      <c r="AZ484" s="573"/>
      <c r="BA484" s="573"/>
      <c r="BB484" s="574"/>
      <c r="BC484" s="585"/>
      <c r="BD484" s="588"/>
      <c r="BE484" s="48"/>
      <c r="BF484" s="49"/>
    </row>
    <row r="485" spans="1:58" s="95" customFormat="1" ht="24" customHeight="1" x14ac:dyDescent="0.25">
      <c r="A485" s="86"/>
      <c r="B485" s="87"/>
      <c r="C485" s="88"/>
      <c r="D485" s="691"/>
      <c r="E485" s="691"/>
      <c r="F485" s="711"/>
      <c r="G485" s="691"/>
      <c r="H485" s="711"/>
      <c r="I485" s="691"/>
      <c r="J485" s="712"/>
      <c r="K485" s="89" t="s">
        <v>71</v>
      </c>
      <c r="L485" s="89" t="s">
        <v>115</v>
      </c>
      <c r="M485" s="89" t="s">
        <v>72</v>
      </c>
      <c r="N485" s="691"/>
      <c r="O485" s="691"/>
      <c r="P485" s="703"/>
      <c r="Q485" s="703"/>
      <c r="R485" s="703"/>
      <c r="S485" s="703"/>
      <c r="T485" s="703"/>
      <c r="U485" s="90" t="s">
        <v>73</v>
      </c>
      <c r="V485" s="89">
        <v>1</v>
      </c>
      <c r="W485" s="91">
        <v>2</v>
      </c>
      <c r="X485" s="91">
        <v>3</v>
      </c>
      <c r="Y485" s="91">
        <v>4</v>
      </c>
      <c r="Z485" s="162">
        <v>1</v>
      </c>
      <c r="AA485" s="110">
        <v>2</v>
      </c>
      <c r="AB485" s="110">
        <v>3</v>
      </c>
      <c r="AC485" s="110">
        <v>4</v>
      </c>
      <c r="AD485" s="696"/>
      <c r="AE485" s="696"/>
      <c r="AF485" s="696"/>
      <c r="AG485" s="696"/>
      <c r="AH485" s="696"/>
      <c r="AI485" s="697"/>
      <c r="AJ485" s="342" t="s">
        <v>74</v>
      </c>
      <c r="AK485" s="343" t="s">
        <v>75</v>
      </c>
      <c r="AL485" s="343" t="s">
        <v>76</v>
      </c>
      <c r="AM485" s="343" t="s">
        <v>77</v>
      </c>
      <c r="AN485" s="92" t="s">
        <v>78</v>
      </c>
      <c r="AO485" s="92" t="s">
        <v>79</v>
      </c>
      <c r="AP485" s="92" t="s">
        <v>80</v>
      </c>
      <c r="AQ485" s="92" t="s">
        <v>81</v>
      </c>
      <c r="AR485" s="93" t="s">
        <v>82</v>
      </c>
      <c r="AS485" s="93" t="s">
        <v>83</v>
      </c>
      <c r="AT485" s="560"/>
      <c r="AU485" s="111" t="s">
        <v>116</v>
      </c>
      <c r="AV485" s="111" t="s">
        <v>117</v>
      </c>
      <c r="AW485" s="111" t="s">
        <v>118</v>
      </c>
      <c r="AX485" s="111" t="s">
        <v>119</v>
      </c>
      <c r="AY485" s="111" t="s">
        <v>116</v>
      </c>
      <c r="AZ485" s="111" t="s">
        <v>117</v>
      </c>
      <c r="BA485" s="111" t="s">
        <v>118</v>
      </c>
      <c r="BB485" s="111" t="s">
        <v>119</v>
      </c>
      <c r="BC485" s="586"/>
      <c r="BD485" s="617"/>
      <c r="BE485" s="48"/>
      <c r="BF485" s="49"/>
    </row>
    <row r="486" spans="1:58" s="120" customFormat="1" ht="39.950000000000003" customHeight="1" x14ac:dyDescent="0.25">
      <c r="A486" s="675"/>
      <c r="B486" s="664"/>
      <c r="C486" s="665">
        <v>1</v>
      </c>
      <c r="D486" s="878" t="s">
        <v>38</v>
      </c>
      <c r="E486" s="879" t="s">
        <v>577</v>
      </c>
      <c r="F486" s="826">
        <v>0.65</v>
      </c>
      <c r="G486" s="826" t="s">
        <v>768</v>
      </c>
      <c r="H486" s="826">
        <v>0.3</v>
      </c>
      <c r="I486" s="840" t="s">
        <v>769</v>
      </c>
      <c r="J486" s="826">
        <v>1</v>
      </c>
      <c r="K486" s="770" t="s">
        <v>770</v>
      </c>
      <c r="L486" s="866" t="s">
        <v>771</v>
      </c>
      <c r="M486" s="785" t="str">
        <f>CONCATENATE(U486,$U$32,U487)</f>
        <v xml:space="preserve">Número de solicitudes atendidas para racionalización tecnológica de trámites u OPAS conforme a la programación en el período  / Total de solicitudes recibidas y programadas  para racionalización tecnológica de tràmites u OPAS en el período </v>
      </c>
      <c r="N486" s="785" t="s">
        <v>772</v>
      </c>
      <c r="O486" s="785" t="s">
        <v>773</v>
      </c>
      <c r="P486" s="851">
        <v>0.19500000000000001</v>
      </c>
      <c r="Q486" s="719">
        <v>1</v>
      </c>
      <c r="R486" s="719">
        <v>1</v>
      </c>
      <c r="S486" s="847">
        <v>1</v>
      </c>
      <c r="T486" s="764" t="s">
        <v>774</v>
      </c>
      <c r="U486" s="380" t="s">
        <v>775</v>
      </c>
      <c r="V486" s="381"/>
      <c r="W486" s="164"/>
      <c r="X486" s="164"/>
      <c r="Y486" s="164"/>
      <c r="Z486" s="332"/>
      <c r="AA486" s="332"/>
      <c r="AB486" s="332"/>
      <c r="AC486" s="332"/>
      <c r="AD486" s="872">
        <f>+AE486+AF486+AG486</f>
        <v>4738375589</v>
      </c>
      <c r="AE486" s="875">
        <v>2737775589</v>
      </c>
      <c r="AF486" s="875">
        <v>2000600000</v>
      </c>
      <c r="AG486" s="875">
        <v>0</v>
      </c>
      <c r="AH486" s="823" t="s">
        <v>776</v>
      </c>
      <c r="AI486" s="819" t="s">
        <v>776</v>
      </c>
      <c r="AJ486" s="819" t="s">
        <v>94</v>
      </c>
      <c r="AK486" s="819"/>
      <c r="AL486" s="819"/>
      <c r="AM486" s="819" t="s">
        <v>94</v>
      </c>
      <c r="AN486" s="819"/>
      <c r="AO486" s="819" t="s">
        <v>94</v>
      </c>
      <c r="AP486" s="819"/>
      <c r="AQ486" s="819" t="s">
        <v>94</v>
      </c>
      <c r="AR486" s="819"/>
      <c r="AS486" s="822"/>
      <c r="AT486" s="190" t="s">
        <v>129</v>
      </c>
      <c r="AU486" s="203">
        <f t="shared" ref="AU486:BB486" si="378">+V488*$J$486</f>
        <v>0</v>
      </c>
      <c r="AV486" s="203">
        <f t="shared" si="378"/>
        <v>0</v>
      </c>
      <c r="AW486" s="203">
        <f t="shared" si="378"/>
        <v>0</v>
      </c>
      <c r="AX486" s="203">
        <f t="shared" si="378"/>
        <v>0</v>
      </c>
      <c r="AY486" s="203">
        <f t="shared" si="378"/>
        <v>0</v>
      </c>
      <c r="AZ486" s="203">
        <f t="shared" si="378"/>
        <v>0</v>
      </c>
      <c r="BA486" s="203">
        <f t="shared" si="378"/>
        <v>0</v>
      </c>
      <c r="BB486" s="203">
        <f t="shared" si="378"/>
        <v>0</v>
      </c>
      <c r="BC486" s="601">
        <f>+BB488</f>
        <v>0</v>
      </c>
      <c r="BD486" s="546">
        <f>+BC486+BC519+BC531</f>
        <v>0</v>
      </c>
      <c r="BE486" s="117"/>
      <c r="BF486" s="118"/>
    </row>
    <row r="487" spans="1:58" s="120" customFormat="1" ht="39.950000000000003" customHeight="1" thickBot="1" x14ac:dyDescent="0.3">
      <c r="A487" s="675"/>
      <c r="B487" s="664"/>
      <c r="C487" s="665"/>
      <c r="D487" s="878"/>
      <c r="E487" s="879"/>
      <c r="F487" s="827"/>
      <c r="G487" s="827"/>
      <c r="H487" s="827"/>
      <c r="I487" s="841"/>
      <c r="J487" s="827"/>
      <c r="K487" s="771"/>
      <c r="L487" s="866"/>
      <c r="M487" s="786"/>
      <c r="N487" s="786"/>
      <c r="O487" s="786"/>
      <c r="P487" s="851"/>
      <c r="Q487" s="719"/>
      <c r="R487" s="719"/>
      <c r="S487" s="847"/>
      <c r="T487" s="765"/>
      <c r="U487" s="382" t="s">
        <v>777</v>
      </c>
      <c r="V487" s="220">
        <v>0.01</v>
      </c>
      <c r="W487" s="220">
        <v>0.01</v>
      </c>
      <c r="X487" s="220">
        <v>0.01</v>
      </c>
      <c r="Y487" s="220">
        <v>0.01</v>
      </c>
      <c r="Z487" s="220">
        <v>0.01</v>
      </c>
      <c r="AA487" s="220">
        <v>0.01</v>
      </c>
      <c r="AB487" s="220">
        <v>0.01</v>
      </c>
      <c r="AC487" s="220">
        <v>0.01</v>
      </c>
      <c r="AD487" s="873"/>
      <c r="AE487" s="876"/>
      <c r="AF487" s="876"/>
      <c r="AG487" s="876"/>
      <c r="AH487" s="823"/>
      <c r="AI487" s="820"/>
      <c r="AJ487" s="820"/>
      <c r="AK487" s="820"/>
      <c r="AL487" s="820"/>
      <c r="AM487" s="820"/>
      <c r="AN487" s="820"/>
      <c r="AO487" s="820"/>
      <c r="AP487" s="820"/>
      <c r="AQ487" s="820"/>
      <c r="AR487" s="820"/>
      <c r="AS487" s="822"/>
      <c r="AT487" s="190" t="s">
        <v>131</v>
      </c>
      <c r="AU487" s="203">
        <f>+AU486*$H$486</f>
        <v>0</v>
      </c>
      <c r="AV487" s="203">
        <f t="shared" ref="AV487:BB487" si="379">+AV486*$H$486</f>
        <v>0</v>
      </c>
      <c r="AW487" s="203">
        <f t="shared" si="379"/>
        <v>0</v>
      </c>
      <c r="AX487" s="203">
        <f t="shared" si="379"/>
        <v>0</v>
      </c>
      <c r="AY487" s="203">
        <f t="shared" si="379"/>
        <v>0</v>
      </c>
      <c r="AZ487" s="203">
        <f t="shared" si="379"/>
        <v>0</v>
      </c>
      <c r="BA487" s="203">
        <f t="shared" si="379"/>
        <v>0</v>
      </c>
      <c r="BB487" s="203">
        <f t="shared" si="379"/>
        <v>0</v>
      </c>
      <c r="BC487" s="614"/>
      <c r="BD487" s="547"/>
      <c r="BE487" s="117"/>
      <c r="BF487" s="118"/>
    </row>
    <row r="488" spans="1:58" s="120" customFormat="1" ht="24.95" customHeight="1" thickBot="1" x14ac:dyDescent="0.3">
      <c r="A488" s="675"/>
      <c r="B488" s="664"/>
      <c r="C488" s="665"/>
      <c r="D488" s="878"/>
      <c r="E488" s="879"/>
      <c r="F488" s="827"/>
      <c r="G488" s="828"/>
      <c r="H488" s="828"/>
      <c r="I488" s="842"/>
      <c r="J488" s="828"/>
      <c r="K488" s="772"/>
      <c r="L488" s="866"/>
      <c r="M488" s="787"/>
      <c r="N488" s="787"/>
      <c r="O488" s="787"/>
      <c r="P488" s="851"/>
      <c r="Q488" s="719"/>
      <c r="R488" s="719"/>
      <c r="S488" s="847"/>
      <c r="T488" s="766"/>
      <c r="U488" s="172" t="s">
        <v>96</v>
      </c>
      <c r="V488" s="123">
        <f t="shared" ref="V488:AC488" si="380">IF((V486/V487)&lt;$I$8,(V486/V487),IF((V486/V487)&lt;$J$8,(V486/V487),IF((V486/V487)&lt;$J$9,(V486/V487),IF((V486/V487)&gt;=$J$9,$J$9))))</f>
        <v>0</v>
      </c>
      <c r="W488" s="123">
        <f t="shared" si="380"/>
        <v>0</v>
      </c>
      <c r="X488" s="123">
        <f t="shared" si="380"/>
        <v>0</v>
      </c>
      <c r="Y488" s="123">
        <f t="shared" si="380"/>
        <v>0</v>
      </c>
      <c r="Z488" s="123">
        <f t="shared" si="380"/>
        <v>0</v>
      </c>
      <c r="AA488" s="123">
        <f t="shared" si="380"/>
        <v>0</v>
      </c>
      <c r="AB488" s="123">
        <f t="shared" si="380"/>
        <v>0</v>
      </c>
      <c r="AC488" s="123">
        <f t="shared" si="380"/>
        <v>0</v>
      </c>
      <c r="AD488" s="873"/>
      <c r="AE488" s="876"/>
      <c r="AF488" s="876"/>
      <c r="AG488" s="876"/>
      <c r="AH488" s="823"/>
      <c r="AI488" s="821"/>
      <c r="AJ488" s="821"/>
      <c r="AK488" s="821"/>
      <c r="AL488" s="821"/>
      <c r="AM488" s="821"/>
      <c r="AN488" s="821"/>
      <c r="AO488" s="821"/>
      <c r="AP488" s="821"/>
      <c r="AQ488" s="821"/>
      <c r="AR488" s="821"/>
      <c r="AS488" s="822"/>
      <c r="AT488" s="190" t="s">
        <v>132</v>
      </c>
      <c r="AU488" s="203">
        <f>(AU487+AU490+AU517)*$F$486</f>
        <v>0</v>
      </c>
      <c r="AV488" s="203">
        <f t="shared" ref="AV488:BB488" si="381">(AV487+AV490+AV517)*$F$486</f>
        <v>0</v>
      </c>
      <c r="AW488" s="203">
        <f t="shared" si="381"/>
        <v>0</v>
      </c>
      <c r="AX488" s="203">
        <f t="shared" si="381"/>
        <v>0</v>
      </c>
      <c r="AY488" s="203">
        <f t="shared" si="381"/>
        <v>0</v>
      </c>
      <c r="AZ488" s="203">
        <f t="shared" si="381"/>
        <v>0</v>
      </c>
      <c r="BA488" s="203">
        <f t="shared" si="381"/>
        <v>0</v>
      </c>
      <c r="BB488" s="127">
        <f t="shared" si="381"/>
        <v>0</v>
      </c>
      <c r="BC488" s="614"/>
      <c r="BD488" s="547"/>
      <c r="BE488" s="117"/>
      <c r="BF488" s="118"/>
    </row>
    <row r="489" spans="1:58" s="120" customFormat="1" ht="35.1" customHeight="1" x14ac:dyDescent="0.25">
      <c r="A489" s="675"/>
      <c r="B489" s="664"/>
      <c r="C489" s="673">
        <v>2</v>
      </c>
      <c r="D489" s="878"/>
      <c r="E489" s="879"/>
      <c r="F489" s="827"/>
      <c r="G489" s="826" t="s">
        <v>778</v>
      </c>
      <c r="H489" s="826">
        <v>0.3</v>
      </c>
      <c r="I489" s="848" t="s">
        <v>779</v>
      </c>
      <c r="J489" s="826">
        <v>0.05</v>
      </c>
      <c r="K489" s="770" t="s">
        <v>780</v>
      </c>
      <c r="L489" s="866" t="s">
        <v>781</v>
      </c>
      <c r="M489" s="785" t="str">
        <f t="shared" ref="M489" si="382">CONCATENATE(U489,$U$32,U490)</f>
        <v>% de cumplimiento  de la Estrategia de Gobierno en Línea GEL- Eje: TIC para Servicios  / % programado</v>
      </c>
      <c r="N489" s="870" t="s">
        <v>782</v>
      </c>
      <c r="O489" s="785" t="s">
        <v>783</v>
      </c>
      <c r="P489" s="851">
        <v>9.75E-3</v>
      </c>
      <c r="Q489" s="871">
        <f>75%+24.3%</f>
        <v>0.99299999999999999</v>
      </c>
      <c r="R489" s="719">
        <v>1</v>
      </c>
      <c r="S489" s="847">
        <v>7.0000000000000001E-3</v>
      </c>
      <c r="T489" s="867" t="s">
        <v>784</v>
      </c>
      <c r="U489" s="380" t="s">
        <v>785</v>
      </c>
      <c r="V489" s="287"/>
      <c r="W489" s="383"/>
      <c r="X489" s="287"/>
      <c r="Y489" s="384"/>
      <c r="Z489" s="322"/>
      <c r="AA489" s="322"/>
      <c r="AB489" s="322"/>
      <c r="AC489" s="322"/>
      <c r="AD489" s="873"/>
      <c r="AE489" s="876"/>
      <c r="AF489" s="876"/>
      <c r="AG489" s="876"/>
      <c r="AH489" s="823" t="s">
        <v>776</v>
      </c>
      <c r="AI489" s="819" t="s">
        <v>776</v>
      </c>
      <c r="AJ489" s="819" t="s">
        <v>94</v>
      </c>
      <c r="AK489" s="819"/>
      <c r="AL489" s="819"/>
      <c r="AM489" s="819" t="s">
        <v>94</v>
      </c>
      <c r="AN489" s="819" t="s">
        <v>94</v>
      </c>
      <c r="AO489" s="819"/>
      <c r="AP489" s="819"/>
      <c r="AQ489" s="819" t="s">
        <v>94</v>
      </c>
      <c r="AR489" s="819"/>
      <c r="AS489" s="822"/>
      <c r="AT489" s="190" t="s">
        <v>129</v>
      </c>
      <c r="AU489" s="197">
        <f t="shared" ref="AU489:BB489" si="383">+V491*$J$489</f>
        <v>0</v>
      </c>
      <c r="AV489" s="197">
        <f t="shared" si="383"/>
        <v>0</v>
      </c>
      <c r="AW489" s="197">
        <f t="shared" si="383"/>
        <v>0</v>
      </c>
      <c r="AX489" s="203">
        <f t="shared" si="383"/>
        <v>0</v>
      </c>
      <c r="AY489" s="197">
        <f t="shared" si="383"/>
        <v>0</v>
      </c>
      <c r="AZ489" s="197">
        <f t="shared" si="383"/>
        <v>0</v>
      </c>
      <c r="BA489" s="197">
        <f t="shared" si="383"/>
        <v>0</v>
      </c>
      <c r="BB489" s="203">
        <f t="shared" si="383"/>
        <v>0</v>
      </c>
      <c r="BC489" s="614"/>
      <c r="BD489" s="547"/>
      <c r="BE489" s="117"/>
      <c r="BF489" s="118"/>
    </row>
    <row r="490" spans="1:58" s="120" customFormat="1" ht="35.1" customHeight="1" x14ac:dyDescent="0.25">
      <c r="A490" s="675"/>
      <c r="B490" s="664"/>
      <c r="C490" s="673"/>
      <c r="D490" s="878"/>
      <c r="E490" s="879"/>
      <c r="F490" s="827"/>
      <c r="G490" s="827"/>
      <c r="H490" s="827"/>
      <c r="I490" s="849"/>
      <c r="J490" s="827"/>
      <c r="K490" s="771"/>
      <c r="L490" s="866"/>
      <c r="M490" s="786"/>
      <c r="N490" s="870"/>
      <c r="O490" s="786"/>
      <c r="P490" s="851"/>
      <c r="Q490" s="871"/>
      <c r="R490" s="719"/>
      <c r="S490" s="847"/>
      <c r="T490" s="868"/>
      <c r="U490" s="385" t="s">
        <v>786</v>
      </c>
      <c r="V490" s="228">
        <v>1E-4</v>
      </c>
      <c r="W490" s="386">
        <v>1E-3</v>
      </c>
      <c r="X490" s="228">
        <v>1E-4</v>
      </c>
      <c r="Y490" s="387">
        <v>7.0000000000000001E-3</v>
      </c>
      <c r="Z490" s="228">
        <f>+V490</f>
        <v>1E-4</v>
      </c>
      <c r="AA490" s="228">
        <f t="shared" ref="AA490:AC490" si="384">+W490</f>
        <v>1E-3</v>
      </c>
      <c r="AB490" s="228">
        <f t="shared" si="384"/>
        <v>1E-4</v>
      </c>
      <c r="AC490" s="170">
        <f t="shared" si="384"/>
        <v>7.0000000000000001E-3</v>
      </c>
      <c r="AD490" s="873"/>
      <c r="AE490" s="876"/>
      <c r="AF490" s="876"/>
      <c r="AG490" s="876"/>
      <c r="AH490" s="823"/>
      <c r="AI490" s="820"/>
      <c r="AJ490" s="820"/>
      <c r="AK490" s="820"/>
      <c r="AL490" s="820"/>
      <c r="AM490" s="820"/>
      <c r="AN490" s="820"/>
      <c r="AO490" s="820"/>
      <c r="AP490" s="820"/>
      <c r="AQ490" s="820"/>
      <c r="AR490" s="820"/>
      <c r="AS490" s="822"/>
      <c r="AT490" s="190" t="s">
        <v>131</v>
      </c>
      <c r="AU490" s="203">
        <f>+(AU489+AU492+AU495+AU498+AU510)*$H$489</f>
        <v>0</v>
      </c>
      <c r="AV490" s="203">
        <f t="shared" ref="AV490:BB490" si="385">+(AV489+AV492+AV495+AV498+AV510)*$H$489</f>
        <v>0</v>
      </c>
      <c r="AW490" s="203">
        <f t="shared" si="385"/>
        <v>0</v>
      </c>
      <c r="AX490" s="203">
        <f t="shared" si="385"/>
        <v>0</v>
      </c>
      <c r="AY490" s="203">
        <f t="shared" si="385"/>
        <v>0</v>
      </c>
      <c r="AZ490" s="203">
        <f t="shared" si="385"/>
        <v>0</v>
      </c>
      <c r="BA490" s="203">
        <f t="shared" si="385"/>
        <v>0</v>
      </c>
      <c r="BB490" s="203">
        <f t="shared" si="385"/>
        <v>0</v>
      </c>
      <c r="BC490" s="614"/>
      <c r="BD490" s="547"/>
      <c r="BE490" s="117"/>
      <c r="BF490" s="118"/>
    </row>
    <row r="491" spans="1:58" s="120" customFormat="1" ht="24.95" customHeight="1" x14ac:dyDescent="0.25">
      <c r="A491" s="675"/>
      <c r="B491" s="664"/>
      <c r="C491" s="673"/>
      <c r="D491" s="878"/>
      <c r="E491" s="879"/>
      <c r="F491" s="827"/>
      <c r="G491" s="827"/>
      <c r="H491" s="827"/>
      <c r="I491" s="849"/>
      <c r="J491" s="828"/>
      <c r="K491" s="772"/>
      <c r="L491" s="866"/>
      <c r="M491" s="787"/>
      <c r="N491" s="870"/>
      <c r="O491" s="787"/>
      <c r="P491" s="851"/>
      <c r="Q491" s="871"/>
      <c r="R491" s="719"/>
      <c r="S491" s="847"/>
      <c r="T491" s="869"/>
      <c r="U491" s="172" t="s">
        <v>96</v>
      </c>
      <c r="V491" s="197">
        <f t="shared" ref="V491:AC491" si="386">IF((V489/V490)&lt;$I$8,(V489/V490),IF((V489/V490)&lt;$J$8,(V489/V490),IF((V489/V490)&lt;$J$9,(V489/V490),IF((V489/V490)&gt;=$J$9,$J$9))))</f>
        <v>0</v>
      </c>
      <c r="W491" s="197">
        <f t="shared" si="386"/>
        <v>0</v>
      </c>
      <c r="X491" s="197">
        <f t="shared" si="386"/>
        <v>0</v>
      </c>
      <c r="Y491" s="123">
        <f t="shared" si="386"/>
        <v>0</v>
      </c>
      <c r="Z491" s="197">
        <f t="shared" si="386"/>
        <v>0</v>
      </c>
      <c r="AA491" s="197">
        <f t="shared" si="386"/>
        <v>0</v>
      </c>
      <c r="AB491" s="197">
        <f t="shared" si="386"/>
        <v>0</v>
      </c>
      <c r="AC491" s="123">
        <f t="shared" si="386"/>
        <v>0</v>
      </c>
      <c r="AD491" s="873"/>
      <c r="AE491" s="876"/>
      <c r="AF491" s="876"/>
      <c r="AG491" s="876"/>
      <c r="AH491" s="823"/>
      <c r="AI491" s="821"/>
      <c r="AJ491" s="821"/>
      <c r="AK491" s="821"/>
      <c r="AL491" s="821"/>
      <c r="AM491" s="821"/>
      <c r="AN491" s="821"/>
      <c r="AO491" s="821"/>
      <c r="AP491" s="821"/>
      <c r="AQ491" s="821"/>
      <c r="AR491" s="821"/>
      <c r="AS491" s="822"/>
      <c r="AT491" s="190" t="s">
        <v>132</v>
      </c>
      <c r="AU491" s="203"/>
      <c r="AV491" s="203"/>
      <c r="AW491" s="203"/>
      <c r="AX491" s="203"/>
      <c r="AY491" s="203"/>
      <c r="AZ491" s="203"/>
      <c r="BA491" s="203"/>
      <c r="BB491" s="203"/>
      <c r="BC491" s="614"/>
      <c r="BD491" s="547"/>
      <c r="BE491" s="117"/>
      <c r="BF491" s="118"/>
    </row>
    <row r="492" spans="1:58" s="120" customFormat="1" ht="35.1" customHeight="1" x14ac:dyDescent="0.25">
      <c r="A492" s="675"/>
      <c r="B492" s="664"/>
      <c r="C492" s="673">
        <v>3</v>
      </c>
      <c r="D492" s="878"/>
      <c r="E492" s="879"/>
      <c r="F492" s="827"/>
      <c r="G492" s="827"/>
      <c r="H492" s="827"/>
      <c r="I492" s="849"/>
      <c r="J492" s="826">
        <v>0.05</v>
      </c>
      <c r="K492" s="770" t="s">
        <v>787</v>
      </c>
      <c r="L492" s="866" t="s">
        <v>788</v>
      </c>
      <c r="M492" s="785" t="str">
        <f t="shared" ref="M492" si="387">CONCATENATE(U492,$U$32,U493)</f>
        <v>% de cumplimiento  de la Estrategia de Gobierno en Línea GEL -  Eje: TIC para El Gobierno Abierto  / % programado</v>
      </c>
      <c r="N492" s="786" t="s">
        <v>782</v>
      </c>
      <c r="O492" s="785" t="s">
        <v>783</v>
      </c>
      <c r="P492" s="851">
        <v>9.75E-3</v>
      </c>
      <c r="Q492" s="719">
        <f>56%+42%</f>
        <v>0.98</v>
      </c>
      <c r="R492" s="719">
        <v>1</v>
      </c>
      <c r="S492" s="847">
        <v>2.5000000000000001E-2</v>
      </c>
      <c r="T492" s="867" t="s">
        <v>784</v>
      </c>
      <c r="U492" s="380" t="s">
        <v>789</v>
      </c>
      <c r="V492" s="287"/>
      <c r="W492" s="383"/>
      <c r="X492" s="287"/>
      <c r="Y492" s="384"/>
      <c r="Z492" s="322"/>
      <c r="AA492" s="322"/>
      <c r="AB492" s="322"/>
      <c r="AC492" s="322"/>
      <c r="AD492" s="873"/>
      <c r="AE492" s="876"/>
      <c r="AF492" s="876"/>
      <c r="AG492" s="876"/>
      <c r="AH492" s="823" t="s">
        <v>776</v>
      </c>
      <c r="AI492" s="819" t="s">
        <v>776</v>
      </c>
      <c r="AJ492" s="819" t="s">
        <v>94</v>
      </c>
      <c r="AK492" s="819"/>
      <c r="AL492" s="819"/>
      <c r="AM492" s="819" t="s">
        <v>94</v>
      </c>
      <c r="AN492" s="819" t="s">
        <v>94</v>
      </c>
      <c r="AO492" s="819"/>
      <c r="AP492" s="819"/>
      <c r="AQ492" s="819" t="s">
        <v>94</v>
      </c>
      <c r="AR492" s="819"/>
      <c r="AS492" s="822"/>
      <c r="AT492" s="190" t="s">
        <v>129</v>
      </c>
      <c r="AU492" s="197">
        <f t="shared" ref="AU492:BB492" si="388">+V494*$J$492</f>
        <v>0</v>
      </c>
      <c r="AV492" s="197">
        <f t="shared" si="388"/>
        <v>0</v>
      </c>
      <c r="AW492" s="197">
        <f t="shared" si="388"/>
        <v>0</v>
      </c>
      <c r="AX492" s="203">
        <f t="shared" si="388"/>
        <v>0</v>
      </c>
      <c r="AY492" s="197">
        <f t="shared" si="388"/>
        <v>0</v>
      </c>
      <c r="AZ492" s="197">
        <f t="shared" si="388"/>
        <v>0</v>
      </c>
      <c r="BA492" s="197">
        <f t="shared" si="388"/>
        <v>0</v>
      </c>
      <c r="BB492" s="203">
        <f t="shared" si="388"/>
        <v>0</v>
      </c>
      <c r="BC492" s="614"/>
      <c r="BD492" s="547"/>
      <c r="BE492" s="117"/>
      <c r="BF492" s="118"/>
    </row>
    <row r="493" spans="1:58" s="120" customFormat="1" ht="35.1" customHeight="1" x14ac:dyDescent="0.25">
      <c r="A493" s="675"/>
      <c r="B493" s="664"/>
      <c r="C493" s="673"/>
      <c r="D493" s="878"/>
      <c r="E493" s="879"/>
      <c r="F493" s="827"/>
      <c r="G493" s="827"/>
      <c r="H493" s="827"/>
      <c r="I493" s="849"/>
      <c r="J493" s="827"/>
      <c r="K493" s="771"/>
      <c r="L493" s="866"/>
      <c r="M493" s="786"/>
      <c r="N493" s="786"/>
      <c r="O493" s="786"/>
      <c r="P493" s="851"/>
      <c r="Q493" s="719"/>
      <c r="R493" s="719"/>
      <c r="S493" s="847"/>
      <c r="T493" s="868"/>
      <c r="U493" s="385" t="s">
        <v>786</v>
      </c>
      <c r="V493" s="228">
        <v>1E-4</v>
      </c>
      <c r="W493" s="386">
        <v>1E-4</v>
      </c>
      <c r="X493" s="228">
        <v>1E-4</v>
      </c>
      <c r="Y493" s="283">
        <v>2.5000000000000001E-2</v>
      </c>
      <c r="Z493" s="228">
        <f>+V493</f>
        <v>1E-4</v>
      </c>
      <c r="AA493" s="228">
        <f t="shared" ref="AA493:AC493" si="389">+W493</f>
        <v>1E-4</v>
      </c>
      <c r="AB493" s="228">
        <f t="shared" si="389"/>
        <v>1E-4</v>
      </c>
      <c r="AC493" s="283">
        <f t="shared" si="389"/>
        <v>2.5000000000000001E-2</v>
      </c>
      <c r="AD493" s="873"/>
      <c r="AE493" s="876"/>
      <c r="AF493" s="876"/>
      <c r="AG493" s="876"/>
      <c r="AH493" s="823"/>
      <c r="AI493" s="820"/>
      <c r="AJ493" s="820"/>
      <c r="AK493" s="820"/>
      <c r="AL493" s="820"/>
      <c r="AM493" s="820"/>
      <c r="AN493" s="820"/>
      <c r="AO493" s="820"/>
      <c r="AP493" s="820"/>
      <c r="AQ493" s="820"/>
      <c r="AR493" s="820"/>
      <c r="AS493" s="822"/>
      <c r="AT493" s="190" t="s">
        <v>131</v>
      </c>
      <c r="AU493" s="575"/>
      <c r="AV493" s="576"/>
      <c r="AW493" s="576"/>
      <c r="AX493" s="576"/>
      <c r="AY493" s="576"/>
      <c r="AZ493" s="576"/>
      <c r="BA493" s="576"/>
      <c r="BB493" s="577"/>
      <c r="BC493" s="614"/>
      <c r="BD493" s="547"/>
      <c r="BE493" s="117"/>
      <c r="BF493" s="118"/>
    </row>
    <row r="494" spans="1:58" s="120" customFormat="1" ht="24.95" customHeight="1" x14ac:dyDescent="0.25">
      <c r="A494" s="675"/>
      <c r="B494" s="664"/>
      <c r="C494" s="673"/>
      <c r="D494" s="878"/>
      <c r="E494" s="879"/>
      <c r="F494" s="827"/>
      <c r="G494" s="827"/>
      <c r="H494" s="827"/>
      <c r="I494" s="849"/>
      <c r="J494" s="828"/>
      <c r="K494" s="772"/>
      <c r="L494" s="866"/>
      <c r="M494" s="787"/>
      <c r="N494" s="786"/>
      <c r="O494" s="787"/>
      <c r="P494" s="851"/>
      <c r="Q494" s="719"/>
      <c r="R494" s="719"/>
      <c r="S494" s="847"/>
      <c r="T494" s="869"/>
      <c r="U494" s="172" t="s">
        <v>96</v>
      </c>
      <c r="V494" s="197">
        <f t="shared" ref="V494:AC494" si="390">IF((V492/V493)&lt;$I$8,(V492/V493),IF((V492/V493)&lt;$J$8,(V492/V493),IF((V492/V493)&lt;$J$9,(V492/V493),IF((V492/V493)&gt;=$J$9,$J$9))))</f>
        <v>0</v>
      </c>
      <c r="W494" s="197">
        <f t="shared" si="390"/>
        <v>0</v>
      </c>
      <c r="X494" s="197">
        <f t="shared" si="390"/>
        <v>0</v>
      </c>
      <c r="Y494" s="123">
        <f t="shared" si="390"/>
        <v>0</v>
      </c>
      <c r="Z494" s="197">
        <f t="shared" si="390"/>
        <v>0</v>
      </c>
      <c r="AA494" s="197">
        <f t="shared" si="390"/>
        <v>0</v>
      </c>
      <c r="AB494" s="197">
        <f t="shared" si="390"/>
        <v>0</v>
      </c>
      <c r="AC494" s="123">
        <f t="shared" si="390"/>
        <v>0</v>
      </c>
      <c r="AD494" s="873"/>
      <c r="AE494" s="876"/>
      <c r="AF494" s="876"/>
      <c r="AG494" s="876"/>
      <c r="AH494" s="823"/>
      <c r="AI494" s="821"/>
      <c r="AJ494" s="821"/>
      <c r="AK494" s="821"/>
      <c r="AL494" s="821"/>
      <c r="AM494" s="821"/>
      <c r="AN494" s="821"/>
      <c r="AO494" s="821"/>
      <c r="AP494" s="821"/>
      <c r="AQ494" s="821"/>
      <c r="AR494" s="821"/>
      <c r="AS494" s="822"/>
      <c r="AT494" s="190" t="s">
        <v>132</v>
      </c>
      <c r="AU494" s="575"/>
      <c r="AV494" s="576"/>
      <c r="AW494" s="576"/>
      <c r="AX494" s="576"/>
      <c r="AY494" s="576"/>
      <c r="AZ494" s="576"/>
      <c r="BA494" s="576"/>
      <c r="BB494" s="577"/>
      <c r="BC494" s="614"/>
      <c r="BD494" s="547"/>
      <c r="BE494" s="117"/>
      <c r="BF494" s="118"/>
    </row>
    <row r="495" spans="1:58" s="120" customFormat="1" ht="35.1" customHeight="1" x14ac:dyDescent="0.25">
      <c r="A495" s="675"/>
      <c r="B495" s="800"/>
      <c r="C495" s="665">
        <v>4</v>
      </c>
      <c r="D495" s="878"/>
      <c r="E495" s="879"/>
      <c r="F495" s="827"/>
      <c r="G495" s="827"/>
      <c r="H495" s="827"/>
      <c r="I495" s="849"/>
      <c r="J495" s="826">
        <v>0.25</v>
      </c>
      <c r="K495" s="770" t="s">
        <v>790</v>
      </c>
      <c r="L495" s="829" t="s">
        <v>791</v>
      </c>
      <c r="M495" s="722" t="str">
        <f t="shared" ref="M495" si="391">CONCATENATE(U495,$U$32,U496)</f>
        <v>% de cumplimiento  de la Estrategia de Gobierno en Línea GEL =  Eje: TIC para La Gestión / % programado</v>
      </c>
      <c r="N495" s="733" t="s">
        <v>782</v>
      </c>
      <c r="O495" s="785" t="s">
        <v>773</v>
      </c>
      <c r="P495" s="851">
        <v>4.8750000000000002E-2</v>
      </c>
      <c r="Q495" s="865">
        <f>15%+65%-0.4%</f>
        <v>0.79600000000000004</v>
      </c>
      <c r="R495" s="719">
        <v>1</v>
      </c>
      <c r="S495" s="847">
        <v>0.20399999999999999</v>
      </c>
      <c r="T495" s="764" t="s">
        <v>151</v>
      </c>
      <c r="U495" s="380" t="s">
        <v>792</v>
      </c>
      <c r="V495" s="388"/>
      <c r="W495" s="383"/>
      <c r="X495" s="287"/>
      <c r="Y495" s="287"/>
      <c r="Z495" s="322"/>
      <c r="AA495" s="322"/>
      <c r="AB495" s="322"/>
      <c r="AC495" s="322"/>
      <c r="AD495" s="873"/>
      <c r="AE495" s="876"/>
      <c r="AF495" s="876"/>
      <c r="AG495" s="876"/>
      <c r="AH495" s="823" t="s">
        <v>776</v>
      </c>
      <c r="AI495" s="819" t="s">
        <v>776</v>
      </c>
      <c r="AJ495" s="819" t="s">
        <v>94</v>
      </c>
      <c r="AK495" s="819"/>
      <c r="AL495" s="819"/>
      <c r="AM495" s="819" t="s">
        <v>94</v>
      </c>
      <c r="AN495" s="819" t="s">
        <v>94</v>
      </c>
      <c r="AO495" s="819"/>
      <c r="AP495" s="819"/>
      <c r="AQ495" s="819" t="s">
        <v>94</v>
      </c>
      <c r="AR495" s="819"/>
      <c r="AS495" s="822"/>
      <c r="AT495" s="190" t="s">
        <v>129</v>
      </c>
      <c r="AU495" s="203">
        <f t="shared" ref="AU495:BB495" si="392">+V497*$J$495</f>
        <v>0</v>
      </c>
      <c r="AV495" s="203">
        <f t="shared" si="392"/>
        <v>0</v>
      </c>
      <c r="AW495" s="203">
        <f t="shared" si="392"/>
        <v>0</v>
      </c>
      <c r="AX495" s="203">
        <f t="shared" si="392"/>
        <v>0</v>
      </c>
      <c r="AY495" s="203">
        <f t="shared" si="392"/>
        <v>0</v>
      </c>
      <c r="AZ495" s="203">
        <f t="shared" si="392"/>
        <v>0</v>
      </c>
      <c r="BA495" s="203">
        <f t="shared" si="392"/>
        <v>0</v>
      </c>
      <c r="BB495" s="203">
        <f t="shared" si="392"/>
        <v>0</v>
      </c>
      <c r="BC495" s="614"/>
      <c r="BD495" s="547"/>
      <c r="BE495" s="117"/>
      <c r="BF495" s="118"/>
    </row>
    <row r="496" spans="1:58" s="120" customFormat="1" ht="35.1" customHeight="1" x14ac:dyDescent="0.25">
      <c r="A496" s="675"/>
      <c r="B496" s="800"/>
      <c r="C496" s="665"/>
      <c r="D496" s="878"/>
      <c r="E496" s="879"/>
      <c r="F496" s="827"/>
      <c r="G496" s="827"/>
      <c r="H496" s="827"/>
      <c r="I496" s="849"/>
      <c r="J496" s="827"/>
      <c r="K496" s="771"/>
      <c r="L496" s="829"/>
      <c r="M496" s="723"/>
      <c r="N496" s="733"/>
      <c r="O496" s="786"/>
      <c r="P496" s="851"/>
      <c r="Q496" s="865"/>
      <c r="R496" s="719"/>
      <c r="S496" s="847"/>
      <c r="T496" s="765"/>
      <c r="U496" s="385" t="s">
        <v>786</v>
      </c>
      <c r="V496" s="285">
        <v>0.02</v>
      </c>
      <c r="W496" s="285">
        <v>0.05</v>
      </c>
      <c r="X496" s="285">
        <v>0.05</v>
      </c>
      <c r="Y496" s="283">
        <v>8.4000000000000005E-2</v>
      </c>
      <c r="Z496" s="283">
        <f>+V496</f>
        <v>0.02</v>
      </c>
      <c r="AA496" s="283">
        <f>+V496+W496</f>
        <v>7.0000000000000007E-2</v>
      </c>
      <c r="AB496" s="283">
        <f>+V496+W496+X496</f>
        <v>0.12000000000000001</v>
      </c>
      <c r="AC496" s="283">
        <f>+V496+W496+X496+Y496</f>
        <v>0.20400000000000001</v>
      </c>
      <c r="AD496" s="873"/>
      <c r="AE496" s="876"/>
      <c r="AF496" s="876"/>
      <c r="AG496" s="876"/>
      <c r="AH496" s="823"/>
      <c r="AI496" s="820"/>
      <c r="AJ496" s="820"/>
      <c r="AK496" s="820"/>
      <c r="AL496" s="820"/>
      <c r="AM496" s="820"/>
      <c r="AN496" s="820"/>
      <c r="AO496" s="820"/>
      <c r="AP496" s="820"/>
      <c r="AQ496" s="820"/>
      <c r="AR496" s="820"/>
      <c r="AS496" s="822"/>
      <c r="AT496" s="190" t="s">
        <v>131</v>
      </c>
      <c r="AU496" s="575"/>
      <c r="AV496" s="576"/>
      <c r="AW496" s="576"/>
      <c r="AX496" s="576"/>
      <c r="AY496" s="576"/>
      <c r="AZ496" s="576"/>
      <c r="BA496" s="576"/>
      <c r="BB496" s="577"/>
      <c r="BC496" s="614"/>
      <c r="BD496" s="547"/>
      <c r="BE496" s="117"/>
      <c r="BF496" s="118"/>
    </row>
    <row r="497" spans="1:58" s="120" customFormat="1" ht="24.95" customHeight="1" x14ac:dyDescent="0.25">
      <c r="A497" s="675"/>
      <c r="B497" s="800"/>
      <c r="C497" s="665"/>
      <c r="D497" s="878"/>
      <c r="E497" s="879"/>
      <c r="F497" s="827"/>
      <c r="G497" s="827"/>
      <c r="H497" s="827"/>
      <c r="I497" s="849"/>
      <c r="J497" s="828"/>
      <c r="K497" s="772"/>
      <c r="L497" s="829"/>
      <c r="M497" s="724"/>
      <c r="N497" s="733"/>
      <c r="O497" s="787"/>
      <c r="P497" s="851"/>
      <c r="Q497" s="865"/>
      <c r="R497" s="719"/>
      <c r="S497" s="847"/>
      <c r="T497" s="766"/>
      <c r="U497" s="172" t="s">
        <v>96</v>
      </c>
      <c r="V497" s="123">
        <f t="shared" ref="V497:AC497" si="393">IF((V495/V496)&lt;$I$8,(V495/V496),IF((V495/V496)&lt;$J$8,(V495/V496),IF((V495/V496)&lt;$J$9,(V495/V496),IF((V495/V496)&gt;=$J$9,$J$9))))</f>
        <v>0</v>
      </c>
      <c r="W497" s="123">
        <f t="shared" si="393"/>
        <v>0</v>
      </c>
      <c r="X497" s="123">
        <f t="shared" si="393"/>
        <v>0</v>
      </c>
      <c r="Y497" s="123">
        <f t="shared" si="393"/>
        <v>0</v>
      </c>
      <c r="Z497" s="123">
        <f t="shared" si="393"/>
        <v>0</v>
      </c>
      <c r="AA497" s="123">
        <f t="shared" si="393"/>
        <v>0</v>
      </c>
      <c r="AB497" s="123">
        <f t="shared" si="393"/>
        <v>0</v>
      </c>
      <c r="AC497" s="123">
        <f t="shared" si="393"/>
        <v>0</v>
      </c>
      <c r="AD497" s="873"/>
      <c r="AE497" s="876"/>
      <c r="AF497" s="876"/>
      <c r="AG497" s="876"/>
      <c r="AH497" s="823"/>
      <c r="AI497" s="821"/>
      <c r="AJ497" s="821"/>
      <c r="AK497" s="821"/>
      <c r="AL497" s="821"/>
      <c r="AM497" s="821"/>
      <c r="AN497" s="821"/>
      <c r="AO497" s="821"/>
      <c r="AP497" s="821"/>
      <c r="AQ497" s="821"/>
      <c r="AR497" s="821"/>
      <c r="AS497" s="822"/>
      <c r="AT497" s="190" t="s">
        <v>132</v>
      </c>
      <c r="AU497" s="575"/>
      <c r="AV497" s="576"/>
      <c r="AW497" s="576"/>
      <c r="AX497" s="576"/>
      <c r="AY497" s="576"/>
      <c r="AZ497" s="576"/>
      <c r="BA497" s="576"/>
      <c r="BB497" s="577"/>
      <c r="BC497" s="614"/>
      <c r="BD497" s="547"/>
      <c r="BE497" s="117"/>
      <c r="BF497" s="118"/>
    </row>
    <row r="498" spans="1:58" s="120" customFormat="1" ht="35.1" customHeight="1" x14ac:dyDescent="0.25">
      <c r="A498" s="668" t="s">
        <v>230</v>
      </c>
      <c r="B498" s="664"/>
      <c r="C498" s="665">
        <v>5</v>
      </c>
      <c r="D498" s="878"/>
      <c r="E498" s="879"/>
      <c r="F498" s="827"/>
      <c r="G498" s="827"/>
      <c r="H498" s="827"/>
      <c r="I498" s="849"/>
      <c r="J498" s="826">
        <v>0.1</v>
      </c>
      <c r="K498" s="770" t="s">
        <v>793</v>
      </c>
      <c r="L498" s="864" t="s">
        <v>794</v>
      </c>
      <c r="M498" s="722" t="str">
        <f t="shared" ref="M498" si="394">CONCATENATE(U498,$U$32,U499)</f>
        <v>% de cumplimiento  de Estrategia de Gobierno en Línea GEL - Eje: TIC para Seguridad y privacidad de la información / % programado</v>
      </c>
      <c r="N498" s="733" t="s">
        <v>782</v>
      </c>
      <c r="O498" s="785" t="s">
        <v>773</v>
      </c>
      <c r="P498" s="851">
        <v>1.8749999999999999E-2</v>
      </c>
      <c r="Q498" s="871">
        <f>29%+51%+0.4%</f>
        <v>0.80400000000000005</v>
      </c>
      <c r="R498" s="719">
        <v>1</v>
      </c>
      <c r="S498" s="847">
        <v>0.19600000000000001</v>
      </c>
      <c r="T498" s="764" t="s">
        <v>151</v>
      </c>
      <c r="U498" s="380" t="s">
        <v>795</v>
      </c>
      <c r="V498" s="383"/>
      <c r="W498" s="287"/>
      <c r="X498" s="287"/>
      <c r="Y498" s="287"/>
      <c r="Z498" s="322"/>
      <c r="AA498" s="322"/>
      <c r="AB498" s="322"/>
      <c r="AC498" s="322"/>
      <c r="AD498" s="873"/>
      <c r="AE498" s="876"/>
      <c r="AF498" s="876"/>
      <c r="AG498" s="876"/>
      <c r="AH498" s="823" t="s">
        <v>776</v>
      </c>
      <c r="AI498" s="819" t="s">
        <v>776</v>
      </c>
      <c r="AJ498" s="819" t="s">
        <v>94</v>
      </c>
      <c r="AK498" s="819"/>
      <c r="AL498" s="819"/>
      <c r="AM498" s="819" t="s">
        <v>94</v>
      </c>
      <c r="AN498" s="819" t="s">
        <v>94</v>
      </c>
      <c r="AO498" s="819"/>
      <c r="AP498" s="819"/>
      <c r="AQ498" s="819" t="s">
        <v>94</v>
      </c>
      <c r="AR498" s="819"/>
      <c r="AS498" s="822"/>
      <c r="AT498" s="190" t="s">
        <v>129</v>
      </c>
      <c r="AU498" s="203">
        <f t="shared" ref="AU498:BB498" si="395">+V500*$J$498</f>
        <v>0</v>
      </c>
      <c r="AV498" s="203">
        <f t="shared" si="395"/>
        <v>0</v>
      </c>
      <c r="AW498" s="203">
        <f t="shared" si="395"/>
        <v>0</v>
      </c>
      <c r="AX498" s="203">
        <f t="shared" si="395"/>
        <v>0</v>
      </c>
      <c r="AY498" s="203">
        <f t="shared" si="395"/>
        <v>0</v>
      </c>
      <c r="AZ498" s="203">
        <f t="shared" si="395"/>
        <v>0</v>
      </c>
      <c r="BA498" s="203">
        <f t="shared" si="395"/>
        <v>0</v>
      </c>
      <c r="BB498" s="203">
        <f t="shared" si="395"/>
        <v>0</v>
      </c>
      <c r="BC498" s="614"/>
      <c r="BD498" s="547"/>
      <c r="BE498" s="117"/>
      <c r="BF498" s="118"/>
    </row>
    <row r="499" spans="1:58" s="120" customFormat="1" ht="35.1" customHeight="1" x14ac:dyDescent="0.25">
      <c r="A499" s="668"/>
      <c r="B499" s="664"/>
      <c r="C499" s="665"/>
      <c r="D499" s="878"/>
      <c r="E499" s="879"/>
      <c r="F499" s="827"/>
      <c r="G499" s="827"/>
      <c r="H499" s="827"/>
      <c r="I499" s="849"/>
      <c r="J499" s="827"/>
      <c r="K499" s="771"/>
      <c r="L499" s="864"/>
      <c r="M499" s="723"/>
      <c r="N499" s="733"/>
      <c r="O499" s="786"/>
      <c r="P499" s="851"/>
      <c r="Q499" s="871"/>
      <c r="R499" s="719"/>
      <c r="S499" s="847"/>
      <c r="T499" s="765"/>
      <c r="U499" s="385" t="s">
        <v>786</v>
      </c>
      <c r="V499" s="228">
        <v>0.03</v>
      </c>
      <c r="W499" s="228">
        <v>0.04</v>
      </c>
      <c r="X499" s="228">
        <v>0.03</v>
      </c>
      <c r="Y499" s="228">
        <v>9.6000000000000002E-2</v>
      </c>
      <c r="Z499" s="228">
        <f>+V499</f>
        <v>0.03</v>
      </c>
      <c r="AA499" s="228">
        <f>+V499+W499</f>
        <v>7.0000000000000007E-2</v>
      </c>
      <c r="AB499" s="228">
        <f>+V499+W499+X499</f>
        <v>0.1</v>
      </c>
      <c r="AC499" s="228">
        <f>+V499+W499+X499+Y499</f>
        <v>0.19600000000000001</v>
      </c>
      <c r="AD499" s="873"/>
      <c r="AE499" s="876"/>
      <c r="AF499" s="876"/>
      <c r="AG499" s="876"/>
      <c r="AH499" s="823"/>
      <c r="AI499" s="820"/>
      <c r="AJ499" s="820"/>
      <c r="AK499" s="820"/>
      <c r="AL499" s="820"/>
      <c r="AM499" s="820"/>
      <c r="AN499" s="820"/>
      <c r="AO499" s="820"/>
      <c r="AP499" s="820"/>
      <c r="AQ499" s="820"/>
      <c r="AR499" s="820"/>
      <c r="AS499" s="822"/>
      <c r="AT499" s="190" t="s">
        <v>131</v>
      </c>
      <c r="AU499" s="575"/>
      <c r="AV499" s="576"/>
      <c r="AW499" s="576"/>
      <c r="AX499" s="576"/>
      <c r="AY499" s="576"/>
      <c r="AZ499" s="576"/>
      <c r="BA499" s="576"/>
      <c r="BB499" s="577"/>
      <c r="BC499" s="614"/>
      <c r="BD499" s="547"/>
      <c r="BE499" s="117"/>
      <c r="BF499" s="118"/>
    </row>
    <row r="500" spans="1:58" s="120" customFormat="1" ht="24.95" customHeight="1" x14ac:dyDescent="0.25">
      <c r="A500" s="668"/>
      <c r="B500" s="664"/>
      <c r="C500" s="665"/>
      <c r="D500" s="878"/>
      <c r="E500" s="879"/>
      <c r="F500" s="827"/>
      <c r="G500" s="827"/>
      <c r="H500" s="827"/>
      <c r="I500" s="849"/>
      <c r="J500" s="828"/>
      <c r="K500" s="772"/>
      <c r="L500" s="864"/>
      <c r="M500" s="724"/>
      <c r="N500" s="733"/>
      <c r="O500" s="787"/>
      <c r="P500" s="851"/>
      <c r="Q500" s="871"/>
      <c r="R500" s="719"/>
      <c r="S500" s="847"/>
      <c r="T500" s="766"/>
      <c r="U500" s="172" t="s">
        <v>96</v>
      </c>
      <c r="V500" s="123">
        <f t="shared" ref="V500:AC500" si="396">IF((V498/V499)&lt;$I$8,(V498/V499),IF((V498/V499)&lt;$J$8,(V498/V499),IF((V498/V499)&lt;$J$9,(V498/V499),IF((V498/V499)&gt;=$J$9,$J$9))))</f>
        <v>0</v>
      </c>
      <c r="W500" s="123">
        <f t="shared" si="396"/>
        <v>0</v>
      </c>
      <c r="X500" s="123">
        <f t="shared" si="396"/>
        <v>0</v>
      </c>
      <c r="Y500" s="123">
        <f t="shared" si="396"/>
        <v>0</v>
      </c>
      <c r="Z500" s="123">
        <f t="shared" si="396"/>
        <v>0</v>
      </c>
      <c r="AA500" s="123">
        <f t="shared" si="396"/>
        <v>0</v>
      </c>
      <c r="AB500" s="123">
        <f t="shared" si="396"/>
        <v>0</v>
      </c>
      <c r="AC500" s="123">
        <f t="shared" si="396"/>
        <v>0</v>
      </c>
      <c r="AD500" s="873"/>
      <c r="AE500" s="876"/>
      <c r="AF500" s="876"/>
      <c r="AG500" s="876"/>
      <c r="AH500" s="823"/>
      <c r="AI500" s="821"/>
      <c r="AJ500" s="821"/>
      <c r="AK500" s="821"/>
      <c r="AL500" s="821"/>
      <c r="AM500" s="821"/>
      <c r="AN500" s="821"/>
      <c r="AO500" s="821"/>
      <c r="AP500" s="821"/>
      <c r="AQ500" s="821"/>
      <c r="AR500" s="821"/>
      <c r="AS500" s="822"/>
      <c r="AT500" s="190" t="s">
        <v>132</v>
      </c>
      <c r="AU500" s="575"/>
      <c r="AV500" s="576"/>
      <c r="AW500" s="576"/>
      <c r="AX500" s="576"/>
      <c r="AY500" s="576"/>
      <c r="AZ500" s="576"/>
      <c r="BA500" s="576"/>
      <c r="BB500" s="577"/>
      <c r="BC500" s="614"/>
      <c r="BD500" s="547"/>
      <c r="BE500" s="117"/>
      <c r="BF500" s="118"/>
    </row>
    <row r="501" spans="1:58" s="120" customFormat="1" ht="24.95" customHeight="1" x14ac:dyDescent="0.25">
      <c r="A501" s="668" t="s">
        <v>796</v>
      </c>
      <c r="B501" s="134"/>
      <c r="C501" s="665">
        <v>6</v>
      </c>
      <c r="D501" s="878"/>
      <c r="E501" s="879"/>
      <c r="F501" s="827"/>
      <c r="G501" s="827"/>
      <c r="H501" s="827"/>
      <c r="I501" s="849"/>
      <c r="J501" s="826">
        <v>0.05</v>
      </c>
      <c r="K501" s="770" t="s">
        <v>797</v>
      </c>
      <c r="L501" s="861" t="s">
        <v>798</v>
      </c>
      <c r="M501" s="722" t="s">
        <v>799</v>
      </c>
      <c r="N501" s="722" t="s">
        <v>797</v>
      </c>
      <c r="O501" s="785" t="s">
        <v>800</v>
      </c>
      <c r="P501" s="858">
        <v>0.01</v>
      </c>
      <c r="Q501" s="809" t="s">
        <v>801</v>
      </c>
      <c r="R501" s="758">
        <v>1</v>
      </c>
      <c r="S501" s="858">
        <v>1</v>
      </c>
      <c r="T501" s="808" t="s">
        <v>774</v>
      </c>
      <c r="U501" s="380" t="s">
        <v>797</v>
      </c>
      <c r="V501" s="164"/>
      <c r="W501" s="164"/>
      <c r="X501" s="164"/>
      <c r="Y501" s="164"/>
      <c r="Z501" s="332"/>
      <c r="AA501" s="332"/>
      <c r="AB501" s="332"/>
      <c r="AC501" s="332"/>
      <c r="AD501" s="873"/>
      <c r="AE501" s="876"/>
      <c r="AF501" s="876"/>
      <c r="AG501" s="876"/>
      <c r="AH501" s="389"/>
      <c r="AI501" s="390"/>
      <c r="AJ501" s="390"/>
      <c r="AK501" s="390"/>
      <c r="AL501" s="390"/>
      <c r="AM501" s="390"/>
      <c r="AN501" s="390"/>
      <c r="AO501" s="390"/>
      <c r="AP501" s="390"/>
      <c r="AQ501" s="390"/>
      <c r="AR501" s="390"/>
      <c r="AS501" s="391"/>
      <c r="AT501" s="190"/>
      <c r="AU501" s="206"/>
      <c r="AV501" s="203"/>
      <c r="AW501" s="203"/>
      <c r="AX501" s="203"/>
      <c r="AY501" s="206"/>
      <c r="AZ501" s="203"/>
      <c r="BA501" s="203"/>
      <c r="BB501" s="203"/>
      <c r="BC501" s="614"/>
      <c r="BD501" s="547"/>
      <c r="BE501" s="117"/>
      <c r="BF501" s="118"/>
    </row>
    <row r="502" spans="1:58" s="120" customFormat="1" ht="24.95" customHeight="1" x14ac:dyDescent="0.25">
      <c r="A502" s="668"/>
      <c r="B502" s="134"/>
      <c r="C502" s="665"/>
      <c r="D502" s="878"/>
      <c r="E502" s="879"/>
      <c r="F502" s="827"/>
      <c r="G502" s="827"/>
      <c r="H502" s="827"/>
      <c r="I502" s="849"/>
      <c r="J502" s="827"/>
      <c r="K502" s="771"/>
      <c r="L502" s="862"/>
      <c r="M502" s="723"/>
      <c r="N502" s="723"/>
      <c r="O502" s="786"/>
      <c r="P502" s="859"/>
      <c r="Q502" s="810"/>
      <c r="R502" s="759"/>
      <c r="S502" s="859"/>
      <c r="T502" s="808"/>
      <c r="U502" s="385" t="s">
        <v>802</v>
      </c>
      <c r="V502" s="392">
        <v>0.1</v>
      </c>
      <c r="W502" s="392">
        <v>0.1</v>
      </c>
      <c r="X502" s="393">
        <v>1</v>
      </c>
      <c r="Y502" s="392">
        <v>1E-3</v>
      </c>
      <c r="Z502" s="392">
        <v>0.1</v>
      </c>
      <c r="AA502" s="392">
        <f>+W502</f>
        <v>0.1</v>
      </c>
      <c r="AB502" s="392">
        <f>+V502+W502+X502</f>
        <v>1.2</v>
      </c>
      <c r="AC502" s="392">
        <f>+Y502</f>
        <v>1E-3</v>
      </c>
      <c r="AD502" s="873"/>
      <c r="AE502" s="876"/>
      <c r="AF502" s="876"/>
      <c r="AG502" s="876"/>
      <c r="AH502" s="389"/>
      <c r="AI502" s="390"/>
      <c r="AJ502" s="390"/>
      <c r="AK502" s="390"/>
      <c r="AL502" s="390"/>
      <c r="AM502" s="390"/>
      <c r="AN502" s="390"/>
      <c r="AO502" s="390"/>
      <c r="AP502" s="390"/>
      <c r="AQ502" s="390"/>
      <c r="AR502" s="390"/>
      <c r="AS502" s="391"/>
      <c r="AT502" s="190"/>
      <c r="AU502" s="206"/>
      <c r="AV502" s="203"/>
      <c r="AW502" s="203"/>
      <c r="AX502" s="203"/>
      <c r="AY502" s="206"/>
      <c r="AZ502" s="203"/>
      <c r="BA502" s="203"/>
      <c r="BB502" s="203"/>
      <c r="BC502" s="614"/>
      <c r="BD502" s="547"/>
      <c r="BE502" s="117"/>
      <c r="BF502" s="118"/>
    </row>
    <row r="503" spans="1:58" s="120" customFormat="1" ht="24.95" customHeight="1" x14ac:dyDescent="0.25">
      <c r="A503" s="668"/>
      <c r="B503" s="134"/>
      <c r="C503" s="665"/>
      <c r="D503" s="878"/>
      <c r="E503" s="879"/>
      <c r="F503" s="827"/>
      <c r="G503" s="827"/>
      <c r="H503" s="827"/>
      <c r="I503" s="849"/>
      <c r="J503" s="828"/>
      <c r="K503" s="772"/>
      <c r="L503" s="863"/>
      <c r="M503" s="724"/>
      <c r="N503" s="724"/>
      <c r="O503" s="787"/>
      <c r="P503" s="860"/>
      <c r="Q503" s="811"/>
      <c r="R503" s="760"/>
      <c r="S503" s="860"/>
      <c r="T503" s="808"/>
      <c r="U503" s="172" t="s">
        <v>96</v>
      </c>
      <c r="V503" s="197">
        <f t="shared" ref="V503:AC503" si="397">IF((V501/V502)&lt;$H$8,(V501/V502),IF((V501/V502)&lt;$I$8,(V501/V502),IF((V501/V502)&lt;$I$9,(V501/V502),IF((V501/V502)&gt;=$I$9,$I$9))))</f>
        <v>0</v>
      </c>
      <c r="W503" s="197">
        <f t="shared" si="397"/>
        <v>0</v>
      </c>
      <c r="X503" s="123">
        <f t="shared" ref="X503" si="398">IF((X501/X502)&lt;$I$8,(X501/X502),IF((X501/X502)&lt;$J$8,(X501/X502),IF((X501/X502)&lt;$J$9,(X501/X502),IF((X501/X502)&gt;=$J$9,$J$9))))</f>
        <v>0</v>
      </c>
      <c r="Y503" s="197">
        <f t="shared" si="397"/>
        <v>0</v>
      </c>
      <c r="Z503" s="197">
        <f t="shared" si="397"/>
        <v>0</v>
      </c>
      <c r="AA503" s="197">
        <f t="shared" si="397"/>
        <v>0</v>
      </c>
      <c r="AB503" s="394">
        <f t="shared" si="397"/>
        <v>0</v>
      </c>
      <c r="AC503" s="197">
        <f t="shared" si="397"/>
        <v>0</v>
      </c>
      <c r="AD503" s="873"/>
      <c r="AE503" s="876"/>
      <c r="AF503" s="876"/>
      <c r="AG503" s="876"/>
      <c r="AH503" s="389"/>
      <c r="AI503" s="390"/>
      <c r="AJ503" s="390"/>
      <c r="AK503" s="390"/>
      <c r="AL503" s="390"/>
      <c r="AM503" s="390"/>
      <c r="AN503" s="390"/>
      <c r="AO503" s="390"/>
      <c r="AP503" s="390"/>
      <c r="AQ503" s="390"/>
      <c r="AR503" s="390"/>
      <c r="AS503" s="391"/>
      <c r="AT503" s="190"/>
      <c r="AU503" s="206"/>
      <c r="AV503" s="203"/>
      <c r="AW503" s="203"/>
      <c r="AX503" s="203"/>
      <c r="AY503" s="206"/>
      <c r="AZ503" s="203"/>
      <c r="BA503" s="203"/>
      <c r="BB503" s="203"/>
      <c r="BC503" s="614"/>
      <c r="BD503" s="547"/>
      <c r="BE503" s="117"/>
      <c r="BF503" s="118"/>
    </row>
    <row r="504" spans="1:58" s="120" customFormat="1" ht="24.95" customHeight="1" x14ac:dyDescent="0.25">
      <c r="A504" s="668" t="s">
        <v>796</v>
      </c>
      <c r="B504" s="134"/>
      <c r="C504" s="665">
        <v>7</v>
      </c>
      <c r="D504" s="878"/>
      <c r="E504" s="879"/>
      <c r="F504" s="827"/>
      <c r="G504" s="827"/>
      <c r="H504" s="827"/>
      <c r="I504" s="849"/>
      <c r="J504" s="826">
        <v>0.05</v>
      </c>
      <c r="K504" s="770" t="s">
        <v>803</v>
      </c>
      <c r="L504" s="861" t="s">
        <v>804</v>
      </c>
      <c r="M504" s="722" t="s">
        <v>805</v>
      </c>
      <c r="N504" s="722" t="s">
        <v>806</v>
      </c>
      <c r="O504" s="785" t="s">
        <v>800</v>
      </c>
      <c r="P504" s="858">
        <v>0.01</v>
      </c>
      <c r="Q504" s="809" t="s">
        <v>801</v>
      </c>
      <c r="R504" s="758">
        <v>1</v>
      </c>
      <c r="S504" s="858">
        <v>1</v>
      </c>
      <c r="T504" s="808" t="s">
        <v>774</v>
      </c>
      <c r="U504" s="380" t="s">
        <v>807</v>
      </c>
      <c r="V504" s="164"/>
      <c r="W504" s="164"/>
      <c r="X504" s="164"/>
      <c r="Y504" s="164"/>
      <c r="Z504" s="332"/>
      <c r="AA504" s="332"/>
      <c r="AB504" s="332"/>
      <c r="AC504" s="332"/>
      <c r="AD504" s="873"/>
      <c r="AE504" s="876"/>
      <c r="AF504" s="876"/>
      <c r="AG504" s="876"/>
      <c r="AH504" s="389"/>
      <c r="AI504" s="390"/>
      <c r="AJ504" s="390"/>
      <c r="AK504" s="390"/>
      <c r="AL504" s="390"/>
      <c r="AM504" s="390"/>
      <c r="AN504" s="390"/>
      <c r="AO504" s="390"/>
      <c r="AP504" s="390"/>
      <c r="AQ504" s="390"/>
      <c r="AR504" s="390"/>
      <c r="AS504" s="391"/>
      <c r="AT504" s="190"/>
      <c r="AU504" s="206"/>
      <c r="AV504" s="203"/>
      <c r="AW504" s="203"/>
      <c r="AX504" s="203"/>
      <c r="AY504" s="206"/>
      <c r="AZ504" s="203"/>
      <c r="BA504" s="203"/>
      <c r="BB504" s="203"/>
      <c r="BC504" s="614"/>
      <c r="BD504" s="547"/>
      <c r="BE504" s="117"/>
      <c r="BF504" s="118"/>
    </row>
    <row r="505" spans="1:58" s="120" customFormat="1" ht="24.95" customHeight="1" x14ac:dyDescent="0.25">
      <c r="A505" s="668"/>
      <c r="B505" s="134"/>
      <c r="C505" s="665"/>
      <c r="D505" s="878"/>
      <c r="E505" s="879"/>
      <c r="F505" s="827"/>
      <c r="G505" s="827"/>
      <c r="H505" s="827"/>
      <c r="I505" s="849"/>
      <c r="J505" s="827"/>
      <c r="K505" s="771"/>
      <c r="L505" s="862"/>
      <c r="M505" s="723"/>
      <c r="N505" s="723"/>
      <c r="O505" s="786"/>
      <c r="P505" s="859"/>
      <c r="Q505" s="810"/>
      <c r="R505" s="759"/>
      <c r="S505" s="859"/>
      <c r="T505" s="808"/>
      <c r="U505" s="385" t="s">
        <v>807</v>
      </c>
      <c r="V505" s="392">
        <v>0.1</v>
      </c>
      <c r="W505" s="392">
        <v>0.1</v>
      </c>
      <c r="X505" s="393">
        <v>1</v>
      </c>
      <c r="Y505" s="392">
        <v>1E-3</v>
      </c>
      <c r="Z505" s="392">
        <v>0.1</v>
      </c>
      <c r="AA505" s="392">
        <f>+W505</f>
        <v>0.1</v>
      </c>
      <c r="AB505" s="392">
        <f>+V505+W505+X505</f>
        <v>1.2</v>
      </c>
      <c r="AC505" s="392">
        <f>+Y505</f>
        <v>1E-3</v>
      </c>
      <c r="AD505" s="873"/>
      <c r="AE505" s="876"/>
      <c r="AF505" s="876"/>
      <c r="AG505" s="876"/>
      <c r="AH505" s="389"/>
      <c r="AI505" s="390"/>
      <c r="AJ505" s="390"/>
      <c r="AK505" s="390"/>
      <c r="AL505" s="390"/>
      <c r="AM505" s="390"/>
      <c r="AN505" s="390"/>
      <c r="AO505" s="390"/>
      <c r="AP505" s="390"/>
      <c r="AQ505" s="390"/>
      <c r="AR505" s="390"/>
      <c r="AS505" s="391"/>
      <c r="AT505" s="190"/>
      <c r="AU505" s="206"/>
      <c r="AV505" s="203"/>
      <c r="AW505" s="203"/>
      <c r="AX505" s="203"/>
      <c r="AY505" s="206"/>
      <c r="AZ505" s="203"/>
      <c r="BA505" s="203"/>
      <c r="BB505" s="203"/>
      <c r="BC505" s="614"/>
      <c r="BD505" s="547"/>
      <c r="BE505" s="117"/>
      <c r="BF505" s="118"/>
    </row>
    <row r="506" spans="1:58" s="120" customFormat="1" ht="24.95" customHeight="1" x14ac:dyDescent="0.25">
      <c r="A506" s="668"/>
      <c r="B506" s="134"/>
      <c r="C506" s="665"/>
      <c r="D506" s="878"/>
      <c r="E506" s="879"/>
      <c r="F506" s="827"/>
      <c r="G506" s="827"/>
      <c r="H506" s="827"/>
      <c r="I506" s="849"/>
      <c r="J506" s="828"/>
      <c r="K506" s="772"/>
      <c r="L506" s="863"/>
      <c r="M506" s="724"/>
      <c r="N506" s="724"/>
      <c r="O506" s="787"/>
      <c r="P506" s="860"/>
      <c r="Q506" s="811"/>
      <c r="R506" s="760"/>
      <c r="S506" s="860"/>
      <c r="T506" s="808"/>
      <c r="U506" s="172" t="s">
        <v>96</v>
      </c>
      <c r="V506" s="197">
        <f t="shared" ref="V506:AC506" si="399">IF((V504/V505)&lt;$H$8,(V504/V505),IF((V504/V505)&lt;$I$8,(V504/V505),IF((V504/V505)&lt;$I$9,(V504/V505),IF((V504/V505)&gt;=$I$9,$I$9))))</f>
        <v>0</v>
      </c>
      <c r="W506" s="197">
        <f t="shared" si="399"/>
        <v>0</v>
      </c>
      <c r="X506" s="123">
        <f t="shared" ref="X506" si="400">IF((X504/X505)&lt;$I$8,(X504/X505),IF((X504/X505)&lt;$J$8,(X504/X505),IF((X504/X505)&lt;$J$9,(X504/X505),IF((X504/X505)&gt;=$J$9,$J$9))))</f>
        <v>0</v>
      </c>
      <c r="Y506" s="197">
        <f t="shared" si="399"/>
        <v>0</v>
      </c>
      <c r="Z506" s="197">
        <f t="shared" si="399"/>
        <v>0</v>
      </c>
      <c r="AA506" s="197">
        <f t="shared" si="399"/>
        <v>0</v>
      </c>
      <c r="AB506" s="394">
        <f t="shared" si="399"/>
        <v>0</v>
      </c>
      <c r="AC506" s="197">
        <f t="shared" si="399"/>
        <v>0</v>
      </c>
      <c r="AD506" s="873"/>
      <c r="AE506" s="876"/>
      <c r="AF506" s="876"/>
      <c r="AG506" s="876"/>
      <c r="AH506" s="389"/>
      <c r="AI506" s="390"/>
      <c r="AJ506" s="390"/>
      <c r="AK506" s="390"/>
      <c r="AL506" s="390"/>
      <c r="AM506" s="390"/>
      <c r="AN506" s="390"/>
      <c r="AO506" s="390"/>
      <c r="AP506" s="390"/>
      <c r="AQ506" s="390"/>
      <c r="AR506" s="390"/>
      <c r="AS506" s="391"/>
      <c r="AT506" s="190"/>
      <c r="AU506" s="206"/>
      <c r="AV506" s="203"/>
      <c r="AW506" s="203"/>
      <c r="AX506" s="203"/>
      <c r="AY506" s="206"/>
      <c r="AZ506" s="203"/>
      <c r="BA506" s="203"/>
      <c r="BB506" s="203"/>
      <c r="BC506" s="614"/>
      <c r="BD506" s="547"/>
      <c r="BE506" s="117"/>
      <c r="BF506" s="118"/>
    </row>
    <row r="507" spans="1:58" s="120" customFormat="1" ht="24.95" customHeight="1" x14ac:dyDescent="0.25">
      <c r="A507" s="668" t="s">
        <v>796</v>
      </c>
      <c r="B507" s="134"/>
      <c r="C507" s="665">
        <v>8</v>
      </c>
      <c r="D507" s="878"/>
      <c r="E507" s="879"/>
      <c r="F507" s="827"/>
      <c r="G507" s="827"/>
      <c r="H507" s="827"/>
      <c r="I507" s="849"/>
      <c r="J507" s="826">
        <v>0.05</v>
      </c>
      <c r="K507" s="770" t="s">
        <v>808</v>
      </c>
      <c r="L507" s="861" t="s">
        <v>809</v>
      </c>
      <c r="M507" s="722" t="s">
        <v>810</v>
      </c>
      <c r="N507" s="722" t="s">
        <v>810</v>
      </c>
      <c r="O507" s="785" t="s">
        <v>811</v>
      </c>
      <c r="P507" s="858">
        <v>0.01</v>
      </c>
      <c r="Q507" s="809" t="s">
        <v>801</v>
      </c>
      <c r="R507" s="758">
        <v>1</v>
      </c>
      <c r="S507" s="858">
        <v>1</v>
      </c>
      <c r="T507" s="808" t="s">
        <v>774</v>
      </c>
      <c r="U507" s="380" t="s">
        <v>810</v>
      </c>
      <c r="V507" s="164"/>
      <c r="W507" s="164"/>
      <c r="X507" s="164"/>
      <c r="Y507" s="164"/>
      <c r="Z507" s="332"/>
      <c r="AA507" s="332"/>
      <c r="AB507" s="332"/>
      <c r="AC507" s="332"/>
      <c r="AD507" s="873"/>
      <c r="AE507" s="876"/>
      <c r="AF507" s="876"/>
      <c r="AG507" s="876"/>
      <c r="AH507" s="389"/>
      <c r="AI507" s="390"/>
      <c r="AJ507" s="390"/>
      <c r="AK507" s="390"/>
      <c r="AL507" s="390"/>
      <c r="AM507" s="390"/>
      <c r="AN507" s="390"/>
      <c r="AO507" s="390"/>
      <c r="AP507" s="390"/>
      <c r="AQ507" s="390"/>
      <c r="AR507" s="390"/>
      <c r="AS507" s="391"/>
      <c r="AT507" s="190"/>
      <c r="AU507" s="206"/>
      <c r="AV507" s="203"/>
      <c r="AW507" s="203"/>
      <c r="AX507" s="203"/>
      <c r="AY507" s="206"/>
      <c r="AZ507" s="203"/>
      <c r="BA507" s="203"/>
      <c r="BB507" s="203"/>
      <c r="BC507" s="614"/>
      <c r="BD507" s="547"/>
      <c r="BE507" s="117"/>
      <c r="BF507" s="118"/>
    </row>
    <row r="508" spans="1:58" s="120" customFormat="1" ht="24.95" customHeight="1" x14ac:dyDescent="0.25">
      <c r="A508" s="668"/>
      <c r="B508" s="134"/>
      <c r="C508" s="665"/>
      <c r="D508" s="878"/>
      <c r="E508" s="879"/>
      <c r="F508" s="827"/>
      <c r="G508" s="827"/>
      <c r="H508" s="827"/>
      <c r="I508" s="849"/>
      <c r="J508" s="827"/>
      <c r="K508" s="771"/>
      <c r="L508" s="862"/>
      <c r="M508" s="723"/>
      <c r="N508" s="723"/>
      <c r="O508" s="786"/>
      <c r="P508" s="859"/>
      <c r="Q508" s="810"/>
      <c r="R508" s="759"/>
      <c r="S508" s="859"/>
      <c r="T508" s="808"/>
      <c r="U508" s="385" t="s">
        <v>810</v>
      </c>
      <c r="V508" s="392">
        <v>0.1</v>
      </c>
      <c r="W508" s="392">
        <v>0.1</v>
      </c>
      <c r="X508" s="392">
        <v>0.1</v>
      </c>
      <c r="Y508" s="393">
        <v>1</v>
      </c>
      <c r="Z508" s="392">
        <v>0.1</v>
      </c>
      <c r="AA508" s="392">
        <f>+W508</f>
        <v>0.1</v>
      </c>
      <c r="AB508" s="392">
        <f>+V508+W508+X508</f>
        <v>0.30000000000000004</v>
      </c>
      <c r="AC508" s="392">
        <f>+Y508</f>
        <v>1</v>
      </c>
      <c r="AD508" s="873"/>
      <c r="AE508" s="876"/>
      <c r="AF508" s="876"/>
      <c r="AG508" s="876"/>
      <c r="AH508" s="389"/>
      <c r="AI508" s="390"/>
      <c r="AJ508" s="390"/>
      <c r="AK508" s="390"/>
      <c r="AL508" s="390"/>
      <c r="AM508" s="390"/>
      <c r="AN508" s="390"/>
      <c r="AO508" s="390"/>
      <c r="AP508" s="390"/>
      <c r="AQ508" s="390"/>
      <c r="AR508" s="390"/>
      <c r="AS508" s="391"/>
      <c r="AT508" s="190"/>
      <c r="AU508" s="206"/>
      <c r="AV508" s="203"/>
      <c r="AW508" s="203"/>
      <c r="AX508" s="203"/>
      <c r="AY508" s="206"/>
      <c r="AZ508" s="203"/>
      <c r="BA508" s="203"/>
      <c r="BB508" s="203"/>
      <c r="BC508" s="614"/>
      <c r="BD508" s="547"/>
      <c r="BE508" s="117"/>
      <c r="BF508" s="118"/>
    </row>
    <row r="509" spans="1:58" s="120" customFormat="1" ht="24.95" customHeight="1" x14ac:dyDescent="0.25">
      <c r="A509" s="668"/>
      <c r="B509" s="134"/>
      <c r="C509" s="665"/>
      <c r="D509" s="878"/>
      <c r="E509" s="879"/>
      <c r="F509" s="827"/>
      <c r="G509" s="827"/>
      <c r="H509" s="827"/>
      <c r="I509" s="849"/>
      <c r="J509" s="828"/>
      <c r="K509" s="772"/>
      <c r="L509" s="863"/>
      <c r="M509" s="724"/>
      <c r="N509" s="724"/>
      <c r="O509" s="787"/>
      <c r="P509" s="860"/>
      <c r="Q509" s="811"/>
      <c r="R509" s="760"/>
      <c r="S509" s="860"/>
      <c r="T509" s="808"/>
      <c r="U509" s="172" t="s">
        <v>96</v>
      </c>
      <c r="V509" s="197">
        <f t="shared" ref="V509:AB509" si="401">IF((V507/V508)&lt;$H$8,(V507/V508),IF((V507/V508)&lt;$I$8,(V507/V508),IF((V507/V508)&lt;$I$9,(V507/V508),IF((V507/V508)&gt;=$I$9,$I$9))))</f>
        <v>0</v>
      </c>
      <c r="W509" s="197">
        <f t="shared" si="401"/>
        <v>0</v>
      </c>
      <c r="X509" s="197">
        <f t="shared" si="401"/>
        <v>0</v>
      </c>
      <c r="Y509" s="123">
        <f t="shared" ref="Y509" si="402">IF((Y507/Y508)&lt;$I$8,(Y507/Y508),IF((Y507/Y508)&lt;$J$8,(Y507/Y508),IF((Y507/Y508)&lt;$J$9,(Y507/Y508),IF((Y507/Y508)&gt;=$J$9,$J$9))))</f>
        <v>0</v>
      </c>
      <c r="Z509" s="197">
        <f t="shared" si="401"/>
        <v>0</v>
      </c>
      <c r="AA509" s="197">
        <f t="shared" si="401"/>
        <v>0</v>
      </c>
      <c r="AB509" s="197">
        <f t="shared" si="401"/>
        <v>0</v>
      </c>
      <c r="AC509" s="123">
        <f t="shared" ref="AC509" si="403">IF((AC507/AC508)&lt;$I$8,(AC507/AC508),IF((AC507/AC508)&lt;$J$8,(AC507/AC508),IF((AC507/AC508)&lt;$J$9,(AC507/AC508),IF((AC507/AC508)&gt;=$J$9,$J$9))))</f>
        <v>0</v>
      </c>
      <c r="AD509" s="873"/>
      <c r="AE509" s="876"/>
      <c r="AF509" s="876"/>
      <c r="AG509" s="876"/>
      <c r="AH509" s="389"/>
      <c r="AI509" s="390"/>
      <c r="AJ509" s="390"/>
      <c r="AK509" s="390"/>
      <c r="AL509" s="390"/>
      <c r="AM509" s="390"/>
      <c r="AN509" s="390"/>
      <c r="AO509" s="390"/>
      <c r="AP509" s="390"/>
      <c r="AQ509" s="390"/>
      <c r="AR509" s="390"/>
      <c r="AS509" s="391"/>
      <c r="AT509" s="190"/>
      <c r="AU509" s="206"/>
      <c r="AV509" s="203"/>
      <c r="AW509" s="203"/>
      <c r="AX509" s="203"/>
      <c r="AY509" s="206"/>
      <c r="AZ509" s="203"/>
      <c r="BA509" s="203"/>
      <c r="BB509" s="203"/>
      <c r="BC509" s="614"/>
      <c r="BD509" s="547"/>
      <c r="BE509" s="117"/>
      <c r="BF509" s="118"/>
    </row>
    <row r="510" spans="1:58" s="120" customFormat="1" ht="35.1" customHeight="1" x14ac:dyDescent="0.25">
      <c r="A510" s="675"/>
      <c r="B510" s="664"/>
      <c r="C510" s="665">
        <v>9</v>
      </c>
      <c r="D510" s="878"/>
      <c r="E510" s="879"/>
      <c r="F510" s="827"/>
      <c r="G510" s="827"/>
      <c r="H510" s="827"/>
      <c r="I510" s="849"/>
      <c r="J510" s="826">
        <v>0.4</v>
      </c>
      <c r="K510" s="770" t="s">
        <v>812</v>
      </c>
      <c r="L510" s="829" t="s">
        <v>813</v>
      </c>
      <c r="M510" s="722" t="str">
        <f t="shared" ref="M510" si="404">CONCATENATE(U510,$U$32,U511)</f>
        <v>% de mantenimiento del cumplimiento   de la Estrategia de Gobierno en Línea GEL en sus cuatro componentes  / % programado</v>
      </c>
      <c r="N510" s="733" t="s">
        <v>782</v>
      </c>
      <c r="O510" s="785" t="s">
        <v>773</v>
      </c>
      <c r="P510" s="851">
        <v>7.8E-2</v>
      </c>
      <c r="Q510" s="719" t="s">
        <v>801</v>
      </c>
      <c r="R510" s="719">
        <v>1</v>
      </c>
      <c r="S510" s="847">
        <v>1</v>
      </c>
      <c r="T510" s="764" t="s">
        <v>151</v>
      </c>
      <c r="U510" s="380" t="s">
        <v>814</v>
      </c>
      <c r="V510" s="287"/>
      <c r="W510" s="287"/>
      <c r="X510" s="287"/>
      <c r="Y510" s="287"/>
      <c r="Z510" s="322"/>
      <c r="AA510" s="322"/>
      <c r="AB510" s="322"/>
      <c r="AC510" s="322"/>
      <c r="AD510" s="873"/>
      <c r="AE510" s="876"/>
      <c r="AF510" s="876"/>
      <c r="AG510" s="876"/>
      <c r="AH510" s="823" t="s">
        <v>776</v>
      </c>
      <c r="AI510" s="819" t="s">
        <v>776</v>
      </c>
      <c r="AJ510" s="819" t="s">
        <v>94</v>
      </c>
      <c r="AK510" s="819"/>
      <c r="AL510" s="819"/>
      <c r="AM510" s="819"/>
      <c r="AN510" s="819" t="s">
        <v>94</v>
      </c>
      <c r="AO510" s="819"/>
      <c r="AP510" s="819"/>
      <c r="AQ510" s="819" t="s">
        <v>94</v>
      </c>
      <c r="AR510" s="819"/>
      <c r="AS510" s="822"/>
      <c r="AT510" s="190" t="s">
        <v>129</v>
      </c>
      <c r="AU510" s="197">
        <f t="shared" ref="AU510:BB510" si="405">+V512*$J$510</f>
        <v>0</v>
      </c>
      <c r="AV510" s="203">
        <f t="shared" si="405"/>
        <v>0</v>
      </c>
      <c r="AW510" s="203">
        <f t="shared" si="405"/>
        <v>0</v>
      </c>
      <c r="AX510" s="203">
        <f t="shared" si="405"/>
        <v>0</v>
      </c>
      <c r="AY510" s="197">
        <f t="shared" si="405"/>
        <v>0</v>
      </c>
      <c r="AZ510" s="203">
        <f t="shared" si="405"/>
        <v>0</v>
      </c>
      <c r="BA510" s="203">
        <f t="shared" si="405"/>
        <v>0</v>
      </c>
      <c r="BB510" s="203">
        <f t="shared" si="405"/>
        <v>0</v>
      </c>
      <c r="BC510" s="614"/>
      <c r="BD510" s="547"/>
      <c r="BE510" s="117"/>
      <c r="BF510" s="118"/>
    </row>
    <row r="511" spans="1:58" s="120" customFormat="1" ht="35.1" customHeight="1" x14ac:dyDescent="0.25">
      <c r="A511" s="675"/>
      <c r="B511" s="664"/>
      <c r="C511" s="665"/>
      <c r="D511" s="878"/>
      <c r="E511" s="879"/>
      <c r="F511" s="827"/>
      <c r="G511" s="827"/>
      <c r="H511" s="827"/>
      <c r="I511" s="849"/>
      <c r="J511" s="827"/>
      <c r="K511" s="771"/>
      <c r="L511" s="829"/>
      <c r="M511" s="723"/>
      <c r="N511" s="733"/>
      <c r="O511" s="786"/>
      <c r="P511" s="851"/>
      <c r="Q511" s="719"/>
      <c r="R511" s="719"/>
      <c r="S511" s="847"/>
      <c r="T511" s="765"/>
      <c r="U511" s="385" t="s">
        <v>786</v>
      </c>
      <c r="V511" s="140">
        <v>1E-3</v>
      </c>
      <c r="W511" s="285">
        <v>0.25</v>
      </c>
      <c r="X511" s="285">
        <v>0.35</v>
      </c>
      <c r="Y511" s="285">
        <v>0.4</v>
      </c>
      <c r="Z511" s="285">
        <f>+V511</f>
        <v>1E-3</v>
      </c>
      <c r="AA511" s="285">
        <f>+V511+W511</f>
        <v>0.251</v>
      </c>
      <c r="AB511" s="285">
        <f>+V511+W511+X511</f>
        <v>0.60099999999999998</v>
      </c>
      <c r="AC511" s="285">
        <f>+V511+W511+X511+Y511</f>
        <v>1.0009999999999999</v>
      </c>
      <c r="AD511" s="873"/>
      <c r="AE511" s="876"/>
      <c r="AF511" s="876"/>
      <c r="AG511" s="876"/>
      <c r="AH511" s="823"/>
      <c r="AI511" s="820"/>
      <c r="AJ511" s="820"/>
      <c r="AK511" s="820"/>
      <c r="AL511" s="820"/>
      <c r="AM511" s="820"/>
      <c r="AN511" s="820"/>
      <c r="AO511" s="820"/>
      <c r="AP511" s="820"/>
      <c r="AQ511" s="820"/>
      <c r="AR511" s="820"/>
      <c r="AS511" s="822"/>
      <c r="AT511" s="190" t="s">
        <v>131</v>
      </c>
      <c r="AU511" s="575"/>
      <c r="AV511" s="576"/>
      <c r="AW511" s="576"/>
      <c r="AX511" s="576"/>
      <c r="AY511" s="576"/>
      <c r="AZ511" s="576"/>
      <c r="BA511" s="576"/>
      <c r="BB511" s="577"/>
      <c r="BC511" s="614"/>
      <c r="BD511" s="547"/>
      <c r="BE511" s="117"/>
      <c r="BF511" s="118"/>
    </row>
    <row r="512" spans="1:58" s="120" customFormat="1" ht="24.95" customHeight="1" x14ac:dyDescent="0.25">
      <c r="A512" s="675"/>
      <c r="B512" s="664"/>
      <c r="C512" s="665"/>
      <c r="D512" s="878"/>
      <c r="E512" s="879"/>
      <c r="F512" s="827"/>
      <c r="G512" s="828"/>
      <c r="H512" s="828"/>
      <c r="I512" s="850"/>
      <c r="J512" s="828"/>
      <c r="K512" s="772"/>
      <c r="L512" s="829"/>
      <c r="M512" s="724"/>
      <c r="N512" s="733"/>
      <c r="O512" s="787"/>
      <c r="P512" s="851"/>
      <c r="Q512" s="719"/>
      <c r="R512" s="719"/>
      <c r="S512" s="847"/>
      <c r="T512" s="766"/>
      <c r="U512" s="172" t="s">
        <v>96</v>
      </c>
      <c r="V512" s="197">
        <f t="shared" ref="V512:AC512" si="406">IF((V510/V511)&lt;$I$8,(V510/V511),IF((V510/V511)&lt;$J$8,(V510/V511),IF((V510/V511)&lt;$J$9,(V510/V511),IF((V510/V511)&gt;=$J$9,$J$9))))</f>
        <v>0</v>
      </c>
      <c r="W512" s="123">
        <f t="shared" si="406"/>
        <v>0</v>
      </c>
      <c r="X512" s="123">
        <f t="shared" si="406"/>
        <v>0</v>
      </c>
      <c r="Y512" s="123">
        <f t="shared" si="406"/>
        <v>0</v>
      </c>
      <c r="Z512" s="197">
        <f t="shared" si="406"/>
        <v>0</v>
      </c>
      <c r="AA512" s="123">
        <f t="shared" si="406"/>
        <v>0</v>
      </c>
      <c r="AB512" s="123">
        <f t="shared" si="406"/>
        <v>0</v>
      </c>
      <c r="AC512" s="123">
        <f t="shared" si="406"/>
        <v>0</v>
      </c>
      <c r="AD512" s="873"/>
      <c r="AE512" s="876"/>
      <c r="AF512" s="876"/>
      <c r="AG512" s="876"/>
      <c r="AH512" s="823"/>
      <c r="AI512" s="821"/>
      <c r="AJ512" s="821"/>
      <c r="AK512" s="821"/>
      <c r="AL512" s="821"/>
      <c r="AM512" s="821"/>
      <c r="AN512" s="821"/>
      <c r="AO512" s="821"/>
      <c r="AP512" s="821"/>
      <c r="AQ512" s="821"/>
      <c r="AR512" s="821"/>
      <c r="AS512" s="822"/>
      <c r="AT512" s="190" t="s">
        <v>132</v>
      </c>
      <c r="AU512" s="575"/>
      <c r="AV512" s="576"/>
      <c r="AW512" s="576"/>
      <c r="AX512" s="576"/>
      <c r="AY512" s="576"/>
      <c r="AZ512" s="576"/>
      <c r="BA512" s="576"/>
      <c r="BB512" s="577"/>
      <c r="BC512" s="614"/>
      <c r="BD512" s="547"/>
      <c r="BE512" s="117"/>
      <c r="BF512" s="118"/>
    </row>
    <row r="513" spans="1:58" s="120" customFormat="1" ht="24.95" customHeight="1" x14ac:dyDescent="0.25">
      <c r="A513" s="668" t="s">
        <v>796</v>
      </c>
      <c r="B513" s="134"/>
      <c r="C513" s="665">
        <v>10</v>
      </c>
      <c r="D513" s="878"/>
      <c r="E513" s="879"/>
      <c r="F513" s="827"/>
      <c r="G513" s="826" t="s">
        <v>337</v>
      </c>
      <c r="H513" s="826">
        <v>0.4</v>
      </c>
      <c r="I513" s="848" t="s">
        <v>815</v>
      </c>
      <c r="J513" s="826">
        <v>0.1</v>
      </c>
      <c r="K513" s="770" t="s">
        <v>816</v>
      </c>
      <c r="L513" s="770" t="s">
        <v>817</v>
      </c>
      <c r="M513" s="722" t="s">
        <v>818</v>
      </c>
      <c r="N513" s="722" t="s">
        <v>818</v>
      </c>
      <c r="O513" s="785" t="s">
        <v>811</v>
      </c>
      <c r="P513" s="852">
        <v>0.06</v>
      </c>
      <c r="Q513" s="758" t="s">
        <v>801</v>
      </c>
      <c r="R513" s="758">
        <v>1</v>
      </c>
      <c r="S513" s="855">
        <v>1</v>
      </c>
      <c r="T513" s="764" t="s">
        <v>774</v>
      </c>
      <c r="U513" s="395" t="s">
        <v>819</v>
      </c>
      <c r="V513" s="164"/>
      <c r="W513" s="164"/>
      <c r="X513" s="164"/>
      <c r="Y513" s="164"/>
      <c r="Z513" s="332"/>
      <c r="AA513" s="332"/>
      <c r="AB513" s="332"/>
      <c r="AC513" s="332"/>
      <c r="AD513" s="873"/>
      <c r="AE513" s="876"/>
      <c r="AF513" s="876"/>
      <c r="AG513" s="876"/>
      <c r="AH513" s="389"/>
      <c r="AI513" s="390"/>
      <c r="AJ513" s="390"/>
      <c r="AK513" s="390"/>
      <c r="AL513" s="390"/>
      <c r="AM513" s="390"/>
      <c r="AN513" s="390"/>
      <c r="AO513" s="390"/>
      <c r="AP513" s="390"/>
      <c r="AQ513" s="390"/>
      <c r="AR513" s="390"/>
      <c r="AS513" s="391"/>
      <c r="AT513" s="190"/>
      <c r="AU513" s="206"/>
      <c r="AV513" s="203"/>
      <c r="AW513" s="206"/>
      <c r="AX513" s="206"/>
      <c r="AY513" s="206"/>
      <c r="AZ513" s="203"/>
      <c r="BA513" s="206"/>
      <c r="BB513" s="206"/>
      <c r="BC513" s="614"/>
      <c r="BD513" s="547"/>
      <c r="BE513" s="117"/>
      <c r="BF513" s="118"/>
    </row>
    <row r="514" spans="1:58" s="120" customFormat="1" ht="24.95" customHeight="1" x14ac:dyDescent="0.25">
      <c r="A514" s="668"/>
      <c r="B514" s="134"/>
      <c r="C514" s="665"/>
      <c r="D514" s="878"/>
      <c r="E514" s="879"/>
      <c r="F514" s="827"/>
      <c r="G514" s="827"/>
      <c r="H514" s="827"/>
      <c r="I514" s="849"/>
      <c r="J514" s="827"/>
      <c r="K514" s="771"/>
      <c r="L514" s="771"/>
      <c r="M514" s="723"/>
      <c r="N514" s="723"/>
      <c r="O514" s="786"/>
      <c r="P514" s="853"/>
      <c r="Q514" s="759"/>
      <c r="R514" s="759"/>
      <c r="S514" s="856"/>
      <c r="T514" s="765"/>
      <c r="U514" s="395" t="s">
        <v>819</v>
      </c>
      <c r="V514" s="392">
        <v>0.1</v>
      </c>
      <c r="W514" s="392">
        <v>0.1</v>
      </c>
      <c r="X514" s="392">
        <v>0.1</v>
      </c>
      <c r="Y514" s="392">
        <v>1</v>
      </c>
      <c r="Z514" s="392">
        <v>0.1</v>
      </c>
      <c r="AA514" s="392">
        <f>+W514</f>
        <v>0.1</v>
      </c>
      <c r="AB514" s="392">
        <f>+V514+W514+X514</f>
        <v>0.30000000000000004</v>
      </c>
      <c r="AC514" s="392">
        <f>+Y514</f>
        <v>1</v>
      </c>
      <c r="AD514" s="873"/>
      <c r="AE514" s="876"/>
      <c r="AF514" s="876"/>
      <c r="AG514" s="876"/>
      <c r="AH514" s="389"/>
      <c r="AI514" s="390"/>
      <c r="AJ514" s="390"/>
      <c r="AK514" s="390"/>
      <c r="AL514" s="390"/>
      <c r="AM514" s="390"/>
      <c r="AN514" s="390"/>
      <c r="AO514" s="390"/>
      <c r="AP514" s="390"/>
      <c r="AQ514" s="390"/>
      <c r="AR514" s="390"/>
      <c r="AS514" s="391"/>
      <c r="AT514" s="190"/>
      <c r="AU514" s="206"/>
      <c r="AV514" s="203"/>
      <c r="AW514" s="206"/>
      <c r="AX514" s="206"/>
      <c r="AY514" s="206"/>
      <c r="AZ514" s="203"/>
      <c r="BA514" s="206"/>
      <c r="BB514" s="206"/>
      <c r="BC514" s="614"/>
      <c r="BD514" s="547"/>
      <c r="BE514" s="117"/>
      <c r="BF514" s="118"/>
    </row>
    <row r="515" spans="1:58" s="120" customFormat="1" ht="24.95" customHeight="1" x14ac:dyDescent="0.25">
      <c r="A515" s="668"/>
      <c r="B515" s="134"/>
      <c r="C515" s="665"/>
      <c r="D515" s="878"/>
      <c r="E515" s="879"/>
      <c r="F515" s="827"/>
      <c r="G515" s="827"/>
      <c r="H515" s="827"/>
      <c r="I515" s="849"/>
      <c r="J515" s="828"/>
      <c r="K515" s="772"/>
      <c r="L515" s="772"/>
      <c r="M515" s="724"/>
      <c r="N515" s="724"/>
      <c r="O515" s="787"/>
      <c r="P515" s="854"/>
      <c r="Q515" s="760"/>
      <c r="R515" s="760"/>
      <c r="S515" s="857"/>
      <c r="T515" s="766"/>
      <c r="U515" s="172" t="s">
        <v>96</v>
      </c>
      <c r="V515" s="197">
        <f t="shared" ref="V515:AC515" si="407">IF((V513/V514)&lt;$H$8,(V513/V514),IF((V513/V514)&lt;$I$8,(V513/V514),IF((V513/V514)&lt;$I$9,(V513/V514),IF((V513/V514)&gt;=$I$9,$I$9))))</f>
        <v>0</v>
      </c>
      <c r="W515" s="197">
        <f t="shared" si="407"/>
        <v>0</v>
      </c>
      <c r="X515" s="197">
        <f t="shared" si="407"/>
        <v>0</v>
      </c>
      <c r="Y515" s="123">
        <f t="shared" ref="Y515" si="408">IF((Y513/Y514)&lt;$I$8,(Y513/Y514),IF((Y513/Y514)&lt;$J$8,(Y513/Y514),IF((Y513/Y514)&lt;$J$9,(Y513/Y514),IF((Y513/Y514)&gt;=$J$9,$J$9))))</f>
        <v>0</v>
      </c>
      <c r="Z515" s="197">
        <f t="shared" si="407"/>
        <v>0</v>
      </c>
      <c r="AA515" s="197">
        <f t="shared" si="407"/>
        <v>0</v>
      </c>
      <c r="AB515" s="197">
        <f t="shared" si="407"/>
        <v>0</v>
      </c>
      <c r="AC515" s="123">
        <f t="shared" si="407"/>
        <v>0</v>
      </c>
      <c r="AD515" s="873"/>
      <c r="AE515" s="876"/>
      <c r="AF515" s="876"/>
      <c r="AG515" s="876"/>
      <c r="AH515" s="389"/>
      <c r="AI515" s="390"/>
      <c r="AJ515" s="390"/>
      <c r="AK515" s="390"/>
      <c r="AL515" s="390"/>
      <c r="AM515" s="390"/>
      <c r="AN515" s="390"/>
      <c r="AO515" s="390"/>
      <c r="AP515" s="390"/>
      <c r="AQ515" s="390"/>
      <c r="AR515" s="390"/>
      <c r="AS515" s="391"/>
      <c r="AT515" s="190"/>
      <c r="AU515" s="206"/>
      <c r="AV515" s="203"/>
      <c r="AW515" s="206"/>
      <c r="AX515" s="206"/>
      <c r="AY515" s="206"/>
      <c r="AZ515" s="203"/>
      <c r="BA515" s="206"/>
      <c r="BB515" s="206"/>
      <c r="BC515" s="614"/>
      <c r="BD515" s="547"/>
      <c r="BE515" s="117"/>
      <c r="BF515" s="118"/>
    </row>
    <row r="516" spans="1:58" s="120" customFormat="1" ht="45" customHeight="1" x14ac:dyDescent="0.25">
      <c r="A516" s="836" t="s">
        <v>230</v>
      </c>
      <c r="B516" s="664"/>
      <c r="C516" s="665">
        <v>11</v>
      </c>
      <c r="D516" s="878"/>
      <c r="E516" s="879"/>
      <c r="F516" s="827"/>
      <c r="G516" s="827"/>
      <c r="H516" s="827"/>
      <c r="I516" s="849"/>
      <c r="J516" s="826">
        <v>0.9</v>
      </c>
      <c r="K516" s="770" t="s">
        <v>820</v>
      </c>
      <c r="L516" s="829" t="s">
        <v>821</v>
      </c>
      <c r="M516" s="722" t="s">
        <v>822</v>
      </c>
      <c r="N516" s="722" t="s">
        <v>823</v>
      </c>
      <c r="O516" s="785" t="s">
        <v>773</v>
      </c>
      <c r="P516" s="824">
        <v>0.2</v>
      </c>
      <c r="Q516" s="719" t="s">
        <v>801</v>
      </c>
      <c r="R516" s="719">
        <v>1</v>
      </c>
      <c r="S516" s="847">
        <v>1</v>
      </c>
      <c r="T516" s="764" t="s">
        <v>774</v>
      </c>
      <c r="U516" s="380" t="s">
        <v>822</v>
      </c>
      <c r="V516" s="164"/>
      <c r="W516" s="164"/>
      <c r="X516" s="164"/>
      <c r="Y516" s="164"/>
      <c r="Z516" s="332"/>
      <c r="AA516" s="332"/>
      <c r="AB516" s="332"/>
      <c r="AC516" s="332"/>
      <c r="AD516" s="873"/>
      <c r="AE516" s="876"/>
      <c r="AF516" s="876"/>
      <c r="AG516" s="876"/>
      <c r="AH516" s="823" t="s">
        <v>776</v>
      </c>
      <c r="AI516" s="819" t="s">
        <v>776</v>
      </c>
      <c r="AJ516" s="819" t="s">
        <v>94</v>
      </c>
      <c r="AK516" s="819"/>
      <c r="AL516" s="819"/>
      <c r="AM516" s="819" t="s">
        <v>94</v>
      </c>
      <c r="AN516" s="819"/>
      <c r="AO516" s="819"/>
      <c r="AP516" s="819" t="s">
        <v>94</v>
      </c>
      <c r="AQ516" s="819" t="s">
        <v>94</v>
      </c>
      <c r="AR516" s="819"/>
      <c r="AS516" s="822"/>
      <c r="AT516" s="190" t="s">
        <v>129</v>
      </c>
      <c r="AU516" s="197">
        <f t="shared" ref="AU516:BB516" si="409">+V518*$J$516</f>
        <v>0</v>
      </c>
      <c r="AV516" s="203">
        <f t="shared" si="409"/>
        <v>0</v>
      </c>
      <c r="AW516" s="197">
        <f t="shared" si="409"/>
        <v>0</v>
      </c>
      <c r="AX516" s="197">
        <f t="shared" si="409"/>
        <v>0</v>
      </c>
      <c r="AY516" s="197">
        <f t="shared" si="409"/>
        <v>0</v>
      </c>
      <c r="AZ516" s="203">
        <f t="shared" si="409"/>
        <v>0</v>
      </c>
      <c r="BA516" s="197">
        <f t="shared" si="409"/>
        <v>0</v>
      </c>
      <c r="BB516" s="197">
        <f t="shared" si="409"/>
        <v>0</v>
      </c>
      <c r="BC516" s="614"/>
      <c r="BD516" s="547"/>
      <c r="BE516" s="117"/>
      <c r="BF516" s="118"/>
    </row>
    <row r="517" spans="1:58" s="120" customFormat="1" ht="45" customHeight="1" x14ac:dyDescent="0.25">
      <c r="A517" s="836"/>
      <c r="B517" s="664"/>
      <c r="C517" s="665"/>
      <c r="D517" s="878"/>
      <c r="E517" s="879"/>
      <c r="F517" s="827"/>
      <c r="G517" s="827"/>
      <c r="H517" s="827"/>
      <c r="I517" s="849"/>
      <c r="J517" s="827"/>
      <c r="K517" s="771"/>
      <c r="L517" s="829"/>
      <c r="M517" s="723"/>
      <c r="N517" s="723"/>
      <c r="O517" s="786"/>
      <c r="P517" s="824"/>
      <c r="Q517" s="719"/>
      <c r="R517" s="719"/>
      <c r="S517" s="847"/>
      <c r="T517" s="765"/>
      <c r="U517" s="385" t="s">
        <v>824</v>
      </c>
      <c r="V517" s="392">
        <v>0.1</v>
      </c>
      <c r="W517" s="396">
        <v>0.1</v>
      </c>
      <c r="X517" s="396">
        <v>1</v>
      </c>
      <c r="Y517" s="392">
        <f>+X517</f>
        <v>1</v>
      </c>
      <c r="Z517" s="392">
        <v>0.1</v>
      </c>
      <c r="AA517" s="392">
        <f>+W517</f>
        <v>0.1</v>
      </c>
      <c r="AB517" s="392">
        <f>+V517+W517+X517</f>
        <v>1.2</v>
      </c>
      <c r="AC517" s="392">
        <f>+Y517</f>
        <v>1</v>
      </c>
      <c r="AD517" s="873"/>
      <c r="AE517" s="876"/>
      <c r="AF517" s="876"/>
      <c r="AG517" s="876"/>
      <c r="AH517" s="823"/>
      <c r="AI517" s="820"/>
      <c r="AJ517" s="820"/>
      <c r="AK517" s="820"/>
      <c r="AL517" s="820"/>
      <c r="AM517" s="820"/>
      <c r="AN517" s="820"/>
      <c r="AO517" s="820"/>
      <c r="AP517" s="820"/>
      <c r="AQ517" s="820"/>
      <c r="AR517" s="820"/>
      <c r="AS517" s="822"/>
      <c r="AT517" s="190" t="s">
        <v>131</v>
      </c>
      <c r="AU517" s="203">
        <f>+(AU516)*$H$516</f>
        <v>0</v>
      </c>
      <c r="AV517" s="203">
        <f t="shared" ref="AV517:BB517" si="410">+(AV516)*$H$516</f>
        <v>0</v>
      </c>
      <c r="AW517" s="203">
        <f t="shared" si="410"/>
        <v>0</v>
      </c>
      <c r="AX517" s="203">
        <f t="shared" si="410"/>
        <v>0</v>
      </c>
      <c r="AY517" s="203">
        <f t="shared" si="410"/>
        <v>0</v>
      </c>
      <c r="AZ517" s="203">
        <f t="shared" si="410"/>
        <v>0</v>
      </c>
      <c r="BA517" s="203">
        <f t="shared" si="410"/>
        <v>0</v>
      </c>
      <c r="BB517" s="203">
        <f t="shared" si="410"/>
        <v>0</v>
      </c>
      <c r="BC517" s="614"/>
      <c r="BD517" s="547"/>
      <c r="BE517" s="117"/>
      <c r="BF517" s="118"/>
    </row>
    <row r="518" spans="1:58" s="120" customFormat="1" ht="24.95" customHeight="1" x14ac:dyDescent="0.25">
      <c r="A518" s="836"/>
      <c r="B518" s="664"/>
      <c r="C518" s="665"/>
      <c r="D518" s="878"/>
      <c r="E518" s="879"/>
      <c r="F518" s="828"/>
      <c r="G518" s="828"/>
      <c r="H518" s="828"/>
      <c r="I518" s="850"/>
      <c r="J518" s="828"/>
      <c r="K518" s="772"/>
      <c r="L518" s="829"/>
      <c r="M518" s="724"/>
      <c r="N518" s="724"/>
      <c r="O518" s="787"/>
      <c r="P518" s="824"/>
      <c r="Q518" s="719"/>
      <c r="R518" s="719"/>
      <c r="S518" s="847"/>
      <c r="T518" s="766"/>
      <c r="U518" s="172" t="s">
        <v>96</v>
      </c>
      <c r="V518" s="197">
        <f t="shared" ref="V518:AC518" si="411">IF((V516/V517)&lt;$H$8,(V516/V517),IF((V516/V517)&lt;$I$8,(V516/V517),IF((V516/V517)&lt;$I$9,(V516/V517),IF((V516/V517)&gt;=$I$9,$I$9))))</f>
        <v>0</v>
      </c>
      <c r="W518" s="197">
        <f t="shared" si="411"/>
        <v>0</v>
      </c>
      <c r="X518" s="394">
        <f t="shared" si="411"/>
        <v>0</v>
      </c>
      <c r="Y518" s="197">
        <f t="shared" si="411"/>
        <v>0</v>
      </c>
      <c r="Z518" s="197">
        <f t="shared" si="411"/>
        <v>0</v>
      </c>
      <c r="AA518" s="197">
        <f t="shared" si="411"/>
        <v>0</v>
      </c>
      <c r="AB518" s="394">
        <f t="shared" si="411"/>
        <v>0</v>
      </c>
      <c r="AC518" s="197">
        <f t="shared" si="411"/>
        <v>0</v>
      </c>
      <c r="AD518" s="873"/>
      <c r="AE518" s="876"/>
      <c r="AF518" s="876"/>
      <c r="AG518" s="876"/>
      <c r="AH518" s="823"/>
      <c r="AI518" s="821"/>
      <c r="AJ518" s="821"/>
      <c r="AK518" s="821"/>
      <c r="AL518" s="821"/>
      <c r="AM518" s="821"/>
      <c r="AN518" s="821"/>
      <c r="AO518" s="821"/>
      <c r="AP518" s="821"/>
      <c r="AQ518" s="821"/>
      <c r="AR518" s="821"/>
      <c r="AS518" s="822"/>
      <c r="AT518" s="190" t="s">
        <v>132</v>
      </c>
      <c r="AU518" s="575"/>
      <c r="AV518" s="576"/>
      <c r="AW518" s="576"/>
      <c r="AX518" s="576"/>
      <c r="AY518" s="576"/>
      <c r="AZ518" s="576"/>
      <c r="BA518" s="576"/>
      <c r="BB518" s="577"/>
      <c r="BC518" s="615"/>
      <c r="BD518" s="547"/>
      <c r="BE518" s="117"/>
      <c r="BF518" s="118"/>
    </row>
    <row r="519" spans="1:58" s="120" customFormat="1" ht="35.1" customHeight="1" x14ac:dyDescent="0.25">
      <c r="A519" s="675"/>
      <c r="B519" s="664"/>
      <c r="C519" s="665">
        <v>12</v>
      </c>
      <c r="D519" s="878"/>
      <c r="E519" s="844" t="s">
        <v>160</v>
      </c>
      <c r="F519" s="826">
        <v>0.32</v>
      </c>
      <c r="G519" s="826" t="s">
        <v>825</v>
      </c>
      <c r="H519" s="826">
        <v>0.7</v>
      </c>
      <c r="I519" s="830" t="s">
        <v>826</v>
      </c>
      <c r="J519" s="826">
        <v>0.4</v>
      </c>
      <c r="K519" s="770" t="s">
        <v>827</v>
      </c>
      <c r="L519" s="829" t="s">
        <v>828</v>
      </c>
      <c r="M519" s="722" t="str">
        <f t="shared" ref="M519" si="412">CONCATENATE(U519,$U$32,U520)</f>
        <v xml:space="preserve">% de percepción de la satisfacción con los servicios prestados por la OTI obtenido / %  de Percepción Programado  </v>
      </c>
      <c r="N519" s="722" t="s">
        <v>829</v>
      </c>
      <c r="O519" s="785" t="s">
        <v>773</v>
      </c>
      <c r="P519" s="824">
        <v>8.9599999999999999E-2</v>
      </c>
      <c r="Q519" s="824">
        <v>0.78</v>
      </c>
      <c r="R519" s="843">
        <v>0.85</v>
      </c>
      <c r="S519" s="825">
        <v>0.85</v>
      </c>
      <c r="T519" s="764" t="s">
        <v>830</v>
      </c>
      <c r="U519" s="380" t="s">
        <v>831</v>
      </c>
      <c r="V519" s="397"/>
      <c r="W519" s="397"/>
      <c r="X519" s="398"/>
      <c r="Y519" s="398"/>
      <c r="Z519" s="399"/>
      <c r="AA519" s="399"/>
      <c r="AB519" s="399"/>
      <c r="AC519" s="399"/>
      <c r="AD519" s="873"/>
      <c r="AE519" s="876"/>
      <c r="AF519" s="876"/>
      <c r="AG519" s="876"/>
      <c r="AH519" s="823" t="s">
        <v>776</v>
      </c>
      <c r="AI519" s="819" t="s">
        <v>776</v>
      </c>
      <c r="AJ519" s="819" t="s">
        <v>94</v>
      </c>
      <c r="AK519" s="819"/>
      <c r="AL519" s="819"/>
      <c r="AM519" s="819"/>
      <c r="AN519" s="819"/>
      <c r="AO519" s="819"/>
      <c r="AP519" s="819" t="s">
        <v>94</v>
      </c>
      <c r="AQ519" s="819"/>
      <c r="AR519" s="819"/>
      <c r="AS519" s="819" t="s">
        <v>94</v>
      </c>
      <c r="AT519" s="190" t="s">
        <v>129</v>
      </c>
      <c r="AU519" s="203">
        <f t="shared" ref="AU519:BB519" si="413">+V521*$J$519</f>
        <v>0</v>
      </c>
      <c r="AV519" s="203">
        <f t="shared" si="413"/>
        <v>0</v>
      </c>
      <c r="AW519" s="203">
        <f t="shared" si="413"/>
        <v>0</v>
      </c>
      <c r="AX519" s="203">
        <f t="shared" si="413"/>
        <v>0</v>
      </c>
      <c r="AY519" s="203">
        <f t="shared" si="413"/>
        <v>0</v>
      </c>
      <c r="AZ519" s="203">
        <f t="shared" si="413"/>
        <v>0</v>
      </c>
      <c r="BA519" s="203">
        <f t="shared" si="413"/>
        <v>0</v>
      </c>
      <c r="BB519" s="203">
        <f t="shared" si="413"/>
        <v>0</v>
      </c>
      <c r="BC519" s="601">
        <f>+BB521</f>
        <v>0</v>
      </c>
      <c r="BD519" s="547"/>
      <c r="BE519" s="117"/>
      <c r="BF519" s="118"/>
    </row>
    <row r="520" spans="1:58" s="120" customFormat="1" ht="35.1" customHeight="1" thickBot="1" x14ac:dyDescent="0.3">
      <c r="A520" s="675"/>
      <c r="B520" s="664"/>
      <c r="C520" s="665"/>
      <c r="D520" s="878"/>
      <c r="E520" s="845"/>
      <c r="F520" s="827"/>
      <c r="G520" s="827"/>
      <c r="H520" s="827"/>
      <c r="I520" s="831"/>
      <c r="J520" s="827"/>
      <c r="K520" s="771"/>
      <c r="L520" s="829"/>
      <c r="M520" s="723"/>
      <c r="N520" s="723"/>
      <c r="O520" s="786"/>
      <c r="P520" s="824"/>
      <c r="Q520" s="824"/>
      <c r="R520" s="843"/>
      <c r="S520" s="825"/>
      <c r="T520" s="765"/>
      <c r="U520" s="385" t="s">
        <v>832</v>
      </c>
      <c r="V520" s="400">
        <v>0.6</v>
      </c>
      <c r="W520" s="400">
        <v>0.8</v>
      </c>
      <c r="X520" s="400">
        <v>0.8</v>
      </c>
      <c r="Y520" s="400">
        <v>0.85</v>
      </c>
      <c r="Z520" s="228">
        <f>+V520</f>
        <v>0.6</v>
      </c>
      <c r="AA520" s="228">
        <f>AVERAGE(V520:W520)</f>
        <v>0.7</v>
      </c>
      <c r="AB520" s="228">
        <f>AVERAGE(V520:X520)</f>
        <v>0.73333333333333339</v>
      </c>
      <c r="AC520" s="228">
        <f>AVERAGE(V520:Y520)</f>
        <v>0.76250000000000007</v>
      </c>
      <c r="AD520" s="873"/>
      <c r="AE520" s="876"/>
      <c r="AF520" s="876"/>
      <c r="AG520" s="876"/>
      <c r="AH520" s="823"/>
      <c r="AI520" s="820"/>
      <c r="AJ520" s="820"/>
      <c r="AK520" s="820"/>
      <c r="AL520" s="820"/>
      <c r="AM520" s="820"/>
      <c r="AN520" s="820"/>
      <c r="AO520" s="820"/>
      <c r="AP520" s="820"/>
      <c r="AQ520" s="820"/>
      <c r="AR520" s="820"/>
      <c r="AS520" s="820"/>
      <c r="AT520" s="190" t="s">
        <v>131</v>
      </c>
      <c r="AU520" s="203">
        <f>+(AU519+AU522+AU525)*$H$519</f>
        <v>0</v>
      </c>
      <c r="AV520" s="203">
        <f t="shared" ref="AV520:BB520" si="414">+(AV519+AV522+AV525)*$H$519</f>
        <v>0</v>
      </c>
      <c r="AW520" s="203">
        <f t="shared" si="414"/>
        <v>0</v>
      </c>
      <c r="AX520" s="203">
        <f t="shared" si="414"/>
        <v>0</v>
      </c>
      <c r="AY520" s="203">
        <f t="shared" si="414"/>
        <v>0</v>
      </c>
      <c r="AZ520" s="203">
        <f t="shared" si="414"/>
        <v>0</v>
      </c>
      <c r="BA520" s="203">
        <f t="shared" si="414"/>
        <v>0</v>
      </c>
      <c r="BB520" s="203">
        <f t="shared" si="414"/>
        <v>0</v>
      </c>
      <c r="BC520" s="614"/>
      <c r="BD520" s="547"/>
      <c r="BE520" s="117"/>
      <c r="BF520" s="118"/>
    </row>
    <row r="521" spans="1:58" s="120" customFormat="1" ht="24.95" customHeight="1" thickBot="1" x14ac:dyDescent="0.3">
      <c r="A521" s="675"/>
      <c r="B521" s="664"/>
      <c r="C521" s="665"/>
      <c r="D521" s="878"/>
      <c r="E521" s="845"/>
      <c r="F521" s="827"/>
      <c r="G521" s="827"/>
      <c r="H521" s="827"/>
      <c r="I521" s="832"/>
      <c r="J521" s="828"/>
      <c r="K521" s="772"/>
      <c r="L521" s="829"/>
      <c r="M521" s="724"/>
      <c r="N521" s="724"/>
      <c r="O521" s="787"/>
      <c r="P521" s="824"/>
      <c r="Q521" s="824"/>
      <c r="R521" s="843"/>
      <c r="S521" s="825"/>
      <c r="T521" s="766"/>
      <c r="U521" s="172" t="s">
        <v>96</v>
      </c>
      <c r="V521" s="123">
        <f t="shared" ref="V521:AC521" si="415">IF((V519/V520)&lt;$I$8,(V519/V520),IF((V519/V520)&lt;$J$8,(V519/V520),IF((V519/V520)&lt;$J$9,(V519/V520),IF((V519/V520)&gt;=$J$9,$J$9))))</f>
        <v>0</v>
      </c>
      <c r="W521" s="123">
        <f t="shared" si="415"/>
        <v>0</v>
      </c>
      <c r="X521" s="123">
        <f t="shared" si="415"/>
        <v>0</v>
      </c>
      <c r="Y521" s="123">
        <f t="shared" si="415"/>
        <v>0</v>
      </c>
      <c r="Z521" s="123">
        <f t="shared" si="415"/>
        <v>0</v>
      </c>
      <c r="AA521" s="123">
        <f t="shared" si="415"/>
        <v>0</v>
      </c>
      <c r="AB521" s="123">
        <f t="shared" si="415"/>
        <v>0</v>
      </c>
      <c r="AC521" s="123">
        <f t="shared" si="415"/>
        <v>0</v>
      </c>
      <c r="AD521" s="873"/>
      <c r="AE521" s="876"/>
      <c r="AF521" s="876"/>
      <c r="AG521" s="876"/>
      <c r="AH521" s="823"/>
      <c r="AI521" s="821"/>
      <c r="AJ521" s="821"/>
      <c r="AK521" s="821"/>
      <c r="AL521" s="821"/>
      <c r="AM521" s="821"/>
      <c r="AN521" s="821"/>
      <c r="AO521" s="821"/>
      <c r="AP521" s="821"/>
      <c r="AQ521" s="821"/>
      <c r="AR521" s="821"/>
      <c r="AS521" s="821"/>
      <c r="AT521" s="190" t="s">
        <v>132</v>
      </c>
      <c r="AU521" s="203">
        <f>+(AU520+AU529)*$F$519</f>
        <v>0</v>
      </c>
      <c r="AV521" s="203">
        <f t="shared" ref="AV521:BA521" si="416">+(AV520+AV529)*$F$519</f>
        <v>0</v>
      </c>
      <c r="AW521" s="203">
        <f t="shared" si="416"/>
        <v>0</v>
      </c>
      <c r="AX521" s="203">
        <f t="shared" si="416"/>
        <v>0</v>
      </c>
      <c r="AY521" s="203">
        <f t="shared" si="416"/>
        <v>0</v>
      </c>
      <c r="AZ521" s="203">
        <f t="shared" si="416"/>
        <v>0</v>
      </c>
      <c r="BA521" s="203">
        <f t="shared" si="416"/>
        <v>0</v>
      </c>
      <c r="BB521" s="127">
        <f>+(BB520+BB529)*$F$519</f>
        <v>0</v>
      </c>
      <c r="BC521" s="614"/>
      <c r="BD521" s="547"/>
      <c r="BE521" s="117"/>
      <c r="BF521" s="118"/>
    </row>
    <row r="522" spans="1:58" s="120" customFormat="1" ht="35.1" customHeight="1" x14ac:dyDescent="0.25">
      <c r="A522" s="128"/>
      <c r="B522" s="664"/>
      <c r="C522" s="665">
        <v>13</v>
      </c>
      <c r="D522" s="878"/>
      <c r="E522" s="845"/>
      <c r="F522" s="827"/>
      <c r="G522" s="827"/>
      <c r="H522" s="827"/>
      <c r="I522" s="830" t="s">
        <v>833</v>
      </c>
      <c r="J522" s="826">
        <v>0.4</v>
      </c>
      <c r="K522" s="770" t="s">
        <v>834</v>
      </c>
      <c r="L522" s="829" t="s">
        <v>835</v>
      </c>
      <c r="M522" s="722" t="str">
        <f t="shared" ref="M522" si="417">CONCATENATE(U522,$U$32,U523)</f>
        <v xml:space="preserve">% de percepción de la satisfacción con los servicios  tecnològicos  asociados a  los trámites en línea de la ANM / %  de Percepción Programado  </v>
      </c>
      <c r="N522" s="722" t="s">
        <v>836</v>
      </c>
      <c r="O522" s="785" t="s">
        <v>837</v>
      </c>
      <c r="P522" s="824">
        <v>8.9599999999999999E-2</v>
      </c>
      <c r="Q522" s="719" t="s">
        <v>801</v>
      </c>
      <c r="R522" s="824">
        <v>0.6</v>
      </c>
      <c r="S522" s="825">
        <v>0.75</v>
      </c>
      <c r="T522" s="764" t="s">
        <v>830</v>
      </c>
      <c r="U522" s="380" t="s">
        <v>838</v>
      </c>
      <c r="V522" s="287"/>
      <c r="W522" s="287"/>
      <c r="X522" s="287"/>
      <c r="Y522" s="287"/>
      <c r="Z522" s="322"/>
      <c r="AA522" s="322"/>
      <c r="AB522" s="322"/>
      <c r="AC522" s="322"/>
      <c r="AD522" s="873"/>
      <c r="AE522" s="876"/>
      <c r="AF522" s="876"/>
      <c r="AG522" s="876"/>
      <c r="AH522" s="823" t="s">
        <v>776</v>
      </c>
      <c r="AI522" s="819" t="s">
        <v>776</v>
      </c>
      <c r="AJ522" s="819" t="s">
        <v>94</v>
      </c>
      <c r="AK522" s="819"/>
      <c r="AL522" s="819"/>
      <c r="AM522" s="819"/>
      <c r="AN522" s="819"/>
      <c r="AO522" s="819"/>
      <c r="AP522" s="819" t="s">
        <v>94</v>
      </c>
      <c r="AQ522" s="822"/>
      <c r="AR522" s="819"/>
      <c r="AS522" s="819" t="s">
        <v>94</v>
      </c>
      <c r="AT522" s="190" t="s">
        <v>129</v>
      </c>
      <c r="AU522" s="197">
        <f t="shared" ref="AU522:BB522" si="418">+V524*$J$522</f>
        <v>0</v>
      </c>
      <c r="AV522" s="203">
        <f t="shared" si="418"/>
        <v>0</v>
      </c>
      <c r="AW522" s="197">
        <f t="shared" si="418"/>
        <v>0</v>
      </c>
      <c r="AX522" s="203">
        <f t="shared" si="418"/>
        <v>0</v>
      </c>
      <c r="AY522" s="197">
        <f t="shared" si="418"/>
        <v>0</v>
      </c>
      <c r="AZ522" s="203">
        <f t="shared" si="418"/>
        <v>0</v>
      </c>
      <c r="BA522" s="197">
        <f t="shared" si="418"/>
        <v>0</v>
      </c>
      <c r="BB522" s="203">
        <f t="shared" si="418"/>
        <v>0</v>
      </c>
      <c r="BC522" s="614"/>
      <c r="BD522" s="547"/>
      <c r="BE522" s="117"/>
      <c r="BF522" s="118"/>
    </row>
    <row r="523" spans="1:58" s="120" customFormat="1" ht="35.1" customHeight="1" x14ac:dyDescent="0.25">
      <c r="A523" s="128"/>
      <c r="B523" s="664"/>
      <c r="C523" s="665"/>
      <c r="D523" s="878"/>
      <c r="E523" s="845"/>
      <c r="F523" s="827"/>
      <c r="G523" s="827"/>
      <c r="H523" s="827"/>
      <c r="I523" s="831"/>
      <c r="J523" s="827"/>
      <c r="K523" s="771"/>
      <c r="L523" s="829"/>
      <c r="M523" s="723"/>
      <c r="N523" s="723"/>
      <c r="O523" s="786"/>
      <c r="P523" s="824"/>
      <c r="Q523" s="719"/>
      <c r="R523" s="824"/>
      <c r="S523" s="825"/>
      <c r="T523" s="765"/>
      <c r="U523" s="385" t="s">
        <v>832</v>
      </c>
      <c r="V523" s="138">
        <v>1E-4</v>
      </c>
      <c r="W523" s="400">
        <v>0.5</v>
      </c>
      <c r="X523" s="401">
        <f>+V523</f>
        <v>1E-4</v>
      </c>
      <c r="Y523" s="400">
        <v>0.75</v>
      </c>
      <c r="Z523" s="401">
        <f t="shared" ref="Z523:AB523" si="419">+V523</f>
        <v>1E-4</v>
      </c>
      <c r="AA523" s="228">
        <f t="shared" si="419"/>
        <v>0.5</v>
      </c>
      <c r="AB523" s="401">
        <f t="shared" si="419"/>
        <v>1E-4</v>
      </c>
      <c r="AC523" s="228">
        <f>AVERAGE(W523,Y523)</f>
        <v>0.625</v>
      </c>
      <c r="AD523" s="873"/>
      <c r="AE523" s="876"/>
      <c r="AF523" s="876"/>
      <c r="AG523" s="876"/>
      <c r="AH523" s="823"/>
      <c r="AI523" s="820"/>
      <c r="AJ523" s="820"/>
      <c r="AK523" s="820"/>
      <c r="AL523" s="820"/>
      <c r="AM523" s="820"/>
      <c r="AN523" s="820"/>
      <c r="AO523" s="820"/>
      <c r="AP523" s="820"/>
      <c r="AQ523" s="822"/>
      <c r="AR523" s="820"/>
      <c r="AS523" s="820"/>
      <c r="AT523" s="190" t="s">
        <v>131</v>
      </c>
      <c r="AU523" s="575"/>
      <c r="AV523" s="576"/>
      <c r="AW523" s="576"/>
      <c r="AX523" s="576"/>
      <c r="AY523" s="576"/>
      <c r="AZ523" s="576"/>
      <c r="BA523" s="576"/>
      <c r="BB523" s="577"/>
      <c r="BC523" s="614"/>
      <c r="BD523" s="547"/>
      <c r="BE523" s="117"/>
      <c r="BF523" s="118"/>
    </row>
    <row r="524" spans="1:58" s="120" customFormat="1" ht="24.95" customHeight="1" x14ac:dyDescent="0.25">
      <c r="A524" s="128"/>
      <c r="B524" s="664"/>
      <c r="C524" s="665"/>
      <c r="D524" s="878"/>
      <c r="E524" s="845"/>
      <c r="F524" s="827"/>
      <c r="G524" s="827"/>
      <c r="H524" s="827"/>
      <c r="I524" s="832"/>
      <c r="J524" s="828"/>
      <c r="K524" s="772"/>
      <c r="L524" s="829"/>
      <c r="M524" s="724"/>
      <c r="N524" s="724"/>
      <c r="O524" s="787"/>
      <c r="P524" s="824"/>
      <c r="Q524" s="719"/>
      <c r="R524" s="824"/>
      <c r="S524" s="825"/>
      <c r="T524" s="766"/>
      <c r="U524" s="172" t="s">
        <v>96</v>
      </c>
      <c r="V524" s="197">
        <f t="shared" ref="V524:AC524" si="420">IF((V522/V523)&lt;$I$8,(V522/V523),IF((V522/V523)&lt;$J$8,(V522/V523),IF((V522/V523)&lt;$J$9,(V522/V523),IF((V522/V523)&gt;=$J$9,$J$9))))</f>
        <v>0</v>
      </c>
      <c r="W524" s="123">
        <f t="shared" si="420"/>
        <v>0</v>
      </c>
      <c r="X524" s="197">
        <f t="shared" si="420"/>
        <v>0</v>
      </c>
      <c r="Y524" s="123">
        <f t="shared" si="420"/>
        <v>0</v>
      </c>
      <c r="Z524" s="197">
        <f t="shared" si="420"/>
        <v>0</v>
      </c>
      <c r="AA524" s="123">
        <f t="shared" si="420"/>
        <v>0</v>
      </c>
      <c r="AB524" s="197">
        <f t="shared" si="420"/>
        <v>0</v>
      </c>
      <c r="AC524" s="123">
        <f t="shared" si="420"/>
        <v>0</v>
      </c>
      <c r="AD524" s="873"/>
      <c r="AE524" s="876"/>
      <c r="AF524" s="876"/>
      <c r="AG524" s="876"/>
      <c r="AH524" s="823"/>
      <c r="AI524" s="821"/>
      <c r="AJ524" s="821"/>
      <c r="AK524" s="821"/>
      <c r="AL524" s="821"/>
      <c r="AM524" s="821"/>
      <c r="AN524" s="821"/>
      <c r="AO524" s="821"/>
      <c r="AP524" s="821"/>
      <c r="AQ524" s="822"/>
      <c r="AR524" s="821"/>
      <c r="AS524" s="821"/>
      <c r="AT524" s="190" t="s">
        <v>132</v>
      </c>
      <c r="AU524" s="575"/>
      <c r="AV524" s="576"/>
      <c r="AW524" s="576"/>
      <c r="AX524" s="576"/>
      <c r="AY524" s="576"/>
      <c r="AZ524" s="576"/>
      <c r="BA524" s="576"/>
      <c r="BB524" s="577"/>
      <c r="BC524" s="614"/>
      <c r="BD524" s="547"/>
      <c r="BE524" s="117"/>
      <c r="BF524" s="118"/>
    </row>
    <row r="525" spans="1:58" s="120" customFormat="1" ht="35.1" customHeight="1" x14ac:dyDescent="0.25">
      <c r="A525" s="668" t="s">
        <v>230</v>
      </c>
      <c r="B525" s="800"/>
      <c r="C525" s="665">
        <v>14</v>
      </c>
      <c r="D525" s="878"/>
      <c r="E525" s="845"/>
      <c r="F525" s="827"/>
      <c r="G525" s="827"/>
      <c r="H525" s="827"/>
      <c r="I525" s="830" t="s">
        <v>839</v>
      </c>
      <c r="J525" s="826">
        <v>0.2</v>
      </c>
      <c r="K525" s="770" t="s">
        <v>840</v>
      </c>
      <c r="L525" s="829" t="s">
        <v>841</v>
      </c>
      <c r="M525" s="722" t="str">
        <f t="shared" ref="M525" si="421">CONCATENATE(U525,$U$32,U526)</f>
        <v xml:space="preserve">Número de casos ( incidentes  y requerimientos ) atendidos dentro de los ANS   / Total de  casos  (incidentes y requerimientos) recibidos </v>
      </c>
      <c r="N525" s="722" t="s">
        <v>842</v>
      </c>
      <c r="O525" s="785" t="s">
        <v>773</v>
      </c>
      <c r="P525" s="824">
        <v>4.48E-2</v>
      </c>
      <c r="Q525" s="824">
        <v>0.79800000000000004</v>
      </c>
      <c r="R525" s="719">
        <v>0.85</v>
      </c>
      <c r="S525" s="825">
        <v>0.85</v>
      </c>
      <c r="T525" s="764" t="s">
        <v>830</v>
      </c>
      <c r="U525" s="380" t="s">
        <v>843</v>
      </c>
      <c r="V525" s="164"/>
      <c r="W525" s="164"/>
      <c r="X525" s="164"/>
      <c r="Y525" s="164"/>
      <c r="Z525" s="165"/>
      <c r="AA525" s="165"/>
      <c r="AB525" s="165"/>
      <c r="AC525" s="165"/>
      <c r="AD525" s="873"/>
      <c r="AE525" s="876"/>
      <c r="AF525" s="876"/>
      <c r="AG525" s="876"/>
      <c r="AH525" s="823" t="s">
        <v>776</v>
      </c>
      <c r="AI525" s="819" t="s">
        <v>776</v>
      </c>
      <c r="AJ525" s="819" t="s">
        <v>94</v>
      </c>
      <c r="AK525" s="819"/>
      <c r="AL525" s="819"/>
      <c r="AM525" s="819"/>
      <c r="AN525" s="819" t="s">
        <v>94</v>
      </c>
      <c r="AO525" s="819"/>
      <c r="AP525" s="819"/>
      <c r="AQ525" s="819" t="s">
        <v>94</v>
      </c>
      <c r="AR525" s="819"/>
      <c r="AS525" s="822"/>
      <c r="AT525" s="190" t="s">
        <v>129</v>
      </c>
      <c r="AU525" s="203">
        <f t="shared" ref="AU525:BB525" si="422">+V527*$J$525</f>
        <v>0</v>
      </c>
      <c r="AV525" s="203">
        <f t="shared" si="422"/>
        <v>0</v>
      </c>
      <c r="AW525" s="203">
        <f t="shared" si="422"/>
        <v>0</v>
      </c>
      <c r="AX525" s="203">
        <f t="shared" si="422"/>
        <v>0</v>
      </c>
      <c r="AY525" s="203">
        <f t="shared" si="422"/>
        <v>0</v>
      </c>
      <c r="AZ525" s="203">
        <f t="shared" si="422"/>
        <v>0</v>
      </c>
      <c r="BA525" s="203">
        <f t="shared" si="422"/>
        <v>0</v>
      </c>
      <c r="BB525" s="203">
        <f t="shared" si="422"/>
        <v>0</v>
      </c>
      <c r="BC525" s="614"/>
      <c r="BD525" s="547"/>
      <c r="BE525" s="117"/>
      <c r="BF525" s="118"/>
    </row>
    <row r="526" spans="1:58" s="120" customFormat="1" ht="35.1" customHeight="1" x14ac:dyDescent="0.25">
      <c r="A526" s="668"/>
      <c r="B526" s="800"/>
      <c r="C526" s="665"/>
      <c r="D526" s="878"/>
      <c r="E526" s="845"/>
      <c r="F526" s="827"/>
      <c r="G526" s="827"/>
      <c r="H526" s="827"/>
      <c r="I526" s="831"/>
      <c r="J526" s="827"/>
      <c r="K526" s="771"/>
      <c r="L526" s="829"/>
      <c r="M526" s="723"/>
      <c r="N526" s="723"/>
      <c r="O526" s="786"/>
      <c r="P526" s="824"/>
      <c r="Q526" s="824"/>
      <c r="R526" s="719"/>
      <c r="S526" s="825"/>
      <c r="T526" s="765"/>
      <c r="U526" s="385" t="s">
        <v>844</v>
      </c>
      <c r="V526" s="220">
        <v>3913</v>
      </c>
      <c r="W526" s="220">
        <v>3922</v>
      </c>
      <c r="X526" s="220">
        <v>0.01</v>
      </c>
      <c r="Y526" s="220">
        <v>0.01</v>
      </c>
      <c r="Z526" s="220">
        <f>+V526</f>
        <v>3913</v>
      </c>
      <c r="AA526" s="220">
        <f>+V526+W526</f>
        <v>7835</v>
      </c>
      <c r="AB526" s="220">
        <f>+V526+W526+X526</f>
        <v>7835.01</v>
      </c>
      <c r="AC526" s="220">
        <f>+V526+W526+X526+Y526</f>
        <v>7835.02</v>
      </c>
      <c r="AD526" s="873"/>
      <c r="AE526" s="876"/>
      <c r="AF526" s="876"/>
      <c r="AG526" s="876"/>
      <c r="AH526" s="823"/>
      <c r="AI526" s="820"/>
      <c r="AJ526" s="820"/>
      <c r="AK526" s="820"/>
      <c r="AL526" s="820"/>
      <c r="AM526" s="820"/>
      <c r="AN526" s="820"/>
      <c r="AO526" s="820"/>
      <c r="AP526" s="820"/>
      <c r="AQ526" s="820"/>
      <c r="AR526" s="820"/>
      <c r="AS526" s="822"/>
      <c r="AT526" s="190" t="s">
        <v>131</v>
      </c>
      <c r="AU526" s="575"/>
      <c r="AV526" s="576"/>
      <c r="AW526" s="576"/>
      <c r="AX526" s="576"/>
      <c r="AY526" s="576"/>
      <c r="AZ526" s="576"/>
      <c r="BA526" s="576"/>
      <c r="BB526" s="577"/>
      <c r="BC526" s="614"/>
      <c r="BD526" s="547"/>
      <c r="BE526" s="117"/>
      <c r="BF526" s="118"/>
    </row>
    <row r="527" spans="1:58" s="120" customFormat="1" ht="24.95" customHeight="1" x14ac:dyDescent="0.25">
      <c r="A527" s="668"/>
      <c r="B527" s="800"/>
      <c r="C527" s="665"/>
      <c r="D527" s="878"/>
      <c r="E527" s="845"/>
      <c r="F527" s="827"/>
      <c r="G527" s="828"/>
      <c r="H527" s="828"/>
      <c r="I527" s="832"/>
      <c r="J527" s="828"/>
      <c r="K527" s="772"/>
      <c r="L527" s="829"/>
      <c r="M527" s="724"/>
      <c r="N527" s="724"/>
      <c r="O527" s="787"/>
      <c r="P527" s="824"/>
      <c r="Q527" s="824"/>
      <c r="R527" s="719"/>
      <c r="S527" s="825"/>
      <c r="T527" s="766"/>
      <c r="U527" s="172" t="s">
        <v>96</v>
      </c>
      <c r="V527" s="123">
        <f t="shared" ref="V527:AC527" si="423">IF((V525/V526)&lt;$I$8,(V525/V526),IF((V525/V526)&lt;$J$8,(V525/V526),IF((V525/V526)&lt;$J$9,(V525/V526),IF((V525/V526)&gt;=$J$9,$J$9))))</f>
        <v>0</v>
      </c>
      <c r="W527" s="123">
        <f t="shared" si="423"/>
        <v>0</v>
      </c>
      <c r="X527" s="123">
        <f t="shared" si="423"/>
        <v>0</v>
      </c>
      <c r="Y527" s="123">
        <f t="shared" si="423"/>
        <v>0</v>
      </c>
      <c r="Z527" s="123">
        <f t="shared" si="423"/>
        <v>0</v>
      </c>
      <c r="AA527" s="123">
        <f t="shared" si="423"/>
        <v>0</v>
      </c>
      <c r="AB527" s="123">
        <f t="shared" si="423"/>
        <v>0</v>
      </c>
      <c r="AC527" s="123">
        <f t="shared" si="423"/>
        <v>0</v>
      </c>
      <c r="AD527" s="873"/>
      <c r="AE527" s="876"/>
      <c r="AF527" s="876"/>
      <c r="AG527" s="876"/>
      <c r="AH527" s="823"/>
      <c r="AI527" s="821"/>
      <c r="AJ527" s="821"/>
      <c r="AK527" s="821"/>
      <c r="AL527" s="821"/>
      <c r="AM527" s="821"/>
      <c r="AN527" s="821"/>
      <c r="AO527" s="821"/>
      <c r="AP527" s="821"/>
      <c r="AQ527" s="821"/>
      <c r="AR527" s="821"/>
      <c r="AS527" s="822"/>
      <c r="AT527" s="190" t="s">
        <v>132</v>
      </c>
      <c r="AU527" s="575"/>
      <c r="AV527" s="576"/>
      <c r="AW527" s="576"/>
      <c r="AX527" s="576"/>
      <c r="AY527" s="576"/>
      <c r="AZ527" s="576"/>
      <c r="BA527" s="576"/>
      <c r="BB527" s="577"/>
      <c r="BC527" s="614"/>
      <c r="BD527" s="547"/>
      <c r="BE527" s="117"/>
      <c r="BF527" s="118"/>
    </row>
    <row r="528" spans="1:58" s="120" customFormat="1" ht="35.1" customHeight="1" x14ac:dyDescent="0.25">
      <c r="A528" s="836" t="s">
        <v>230</v>
      </c>
      <c r="B528" s="664"/>
      <c r="C528" s="665">
        <v>15</v>
      </c>
      <c r="D528" s="878"/>
      <c r="E528" s="845"/>
      <c r="F528" s="827"/>
      <c r="G528" s="837" t="s">
        <v>845</v>
      </c>
      <c r="H528" s="826">
        <v>0.3</v>
      </c>
      <c r="I528" s="840" t="s">
        <v>846</v>
      </c>
      <c r="J528" s="826">
        <v>1</v>
      </c>
      <c r="K528" s="770" t="s">
        <v>847</v>
      </c>
      <c r="L528" s="829" t="s">
        <v>848</v>
      </c>
      <c r="M528" s="722" t="str">
        <f t="shared" ref="M528" si="424">CONCATENATE(U528,$T$32,U529)</f>
        <v>Ejecución de obligaciones en el periodoValor total del presupuesto asignado al área</v>
      </c>
      <c r="N528" s="733" t="s">
        <v>849</v>
      </c>
      <c r="O528" s="785" t="s">
        <v>773</v>
      </c>
      <c r="P528" s="824">
        <v>9.6000000000000002E-2</v>
      </c>
      <c r="Q528" s="719">
        <v>1</v>
      </c>
      <c r="R528" s="719">
        <v>1</v>
      </c>
      <c r="S528" s="825">
        <v>1</v>
      </c>
      <c r="T528" s="764" t="s">
        <v>151</v>
      </c>
      <c r="U528" s="380" t="s">
        <v>850</v>
      </c>
      <c r="V528" s="402"/>
      <c r="W528" s="402"/>
      <c r="X528" s="402"/>
      <c r="Y528" s="402"/>
      <c r="Z528" s="403"/>
      <c r="AA528" s="403"/>
      <c r="AB528" s="403"/>
      <c r="AC528" s="403"/>
      <c r="AD528" s="873"/>
      <c r="AE528" s="876"/>
      <c r="AF528" s="876"/>
      <c r="AG528" s="876"/>
      <c r="AH528" s="823" t="s">
        <v>776</v>
      </c>
      <c r="AI528" s="819" t="s">
        <v>776</v>
      </c>
      <c r="AJ528" s="819" t="s">
        <v>94</v>
      </c>
      <c r="AK528" s="819"/>
      <c r="AL528" s="819"/>
      <c r="AM528" s="819" t="s">
        <v>94</v>
      </c>
      <c r="AN528" s="819" t="s">
        <v>94</v>
      </c>
      <c r="AO528" s="819"/>
      <c r="AP528" s="819"/>
      <c r="AQ528" s="819" t="s">
        <v>94</v>
      </c>
      <c r="AR528" s="819"/>
      <c r="AS528" s="822"/>
      <c r="AT528" s="190" t="s">
        <v>129</v>
      </c>
      <c r="AU528" s="203">
        <f t="shared" ref="AU528:BB528" si="425">+V530*$J$528</f>
        <v>0</v>
      </c>
      <c r="AV528" s="203">
        <f t="shared" si="425"/>
        <v>0</v>
      </c>
      <c r="AW528" s="203">
        <f t="shared" si="425"/>
        <v>0</v>
      </c>
      <c r="AX528" s="203">
        <f t="shared" si="425"/>
        <v>0</v>
      </c>
      <c r="AY528" s="203">
        <f t="shared" si="425"/>
        <v>0</v>
      </c>
      <c r="AZ528" s="203">
        <f t="shared" si="425"/>
        <v>0</v>
      </c>
      <c r="BA528" s="203">
        <f t="shared" si="425"/>
        <v>0</v>
      </c>
      <c r="BB528" s="203">
        <f t="shared" si="425"/>
        <v>0</v>
      </c>
      <c r="BC528" s="614"/>
      <c r="BD528" s="547"/>
      <c r="BE528" s="117"/>
      <c r="BF528" s="118"/>
    </row>
    <row r="529" spans="1:181" s="120" customFormat="1" ht="35.1" customHeight="1" x14ac:dyDescent="0.25">
      <c r="A529" s="836"/>
      <c r="B529" s="664"/>
      <c r="C529" s="665"/>
      <c r="D529" s="878"/>
      <c r="E529" s="845"/>
      <c r="F529" s="827"/>
      <c r="G529" s="838"/>
      <c r="H529" s="827"/>
      <c r="I529" s="841"/>
      <c r="J529" s="827"/>
      <c r="K529" s="771"/>
      <c r="L529" s="829"/>
      <c r="M529" s="723"/>
      <c r="N529" s="733"/>
      <c r="O529" s="786"/>
      <c r="P529" s="824"/>
      <c r="Q529" s="719"/>
      <c r="R529" s="719"/>
      <c r="S529" s="825"/>
      <c r="T529" s="765"/>
      <c r="U529" s="194" t="s">
        <v>851</v>
      </c>
      <c r="V529" s="1183">
        <v>104014047.97499999</v>
      </c>
      <c r="W529" s="1184">
        <v>353647763</v>
      </c>
      <c r="X529" s="1184">
        <v>1040140480</v>
      </c>
      <c r="Y529" s="1184">
        <v>2662759628</v>
      </c>
      <c r="Z529" s="1184">
        <f>+V529</f>
        <v>104014047.97499999</v>
      </c>
      <c r="AA529" s="1184">
        <f>+Z529+W529</f>
        <v>457661810.97500002</v>
      </c>
      <c r="AB529" s="1184">
        <f>+V529+W529+X529</f>
        <v>1497802290.9749999</v>
      </c>
      <c r="AC529" s="1184">
        <f>+V529+W529+X529+Y529</f>
        <v>4160561918.9749999</v>
      </c>
      <c r="AD529" s="873"/>
      <c r="AE529" s="876"/>
      <c r="AF529" s="876"/>
      <c r="AG529" s="876"/>
      <c r="AH529" s="823"/>
      <c r="AI529" s="820"/>
      <c r="AJ529" s="820"/>
      <c r="AK529" s="820"/>
      <c r="AL529" s="820"/>
      <c r="AM529" s="820"/>
      <c r="AN529" s="820"/>
      <c r="AO529" s="820"/>
      <c r="AP529" s="820"/>
      <c r="AQ529" s="820"/>
      <c r="AR529" s="820"/>
      <c r="AS529" s="822"/>
      <c r="AT529" s="190" t="s">
        <v>131</v>
      </c>
      <c r="AU529" s="203">
        <f>+AU528*$H$528</f>
        <v>0</v>
      </c>
      <c r="AV529" s="203">
        <f t="shared" ref="AV529:BB529" si="426">+AV528*$H$528</f>
        <v>0</v>
      </c>
      <c r="AW529" s="203">
        <f t="shared" si="426"/>
        <v>0</v>
      </c>
      <c r="AX529" s="203">
        <f t="shared" si="426"/>
        <v>0</v>
      </c>
      <c r="AY529" s="203">
        <f t="shared" si="426"/>
        <v>0</v>
      </c>
      <c r="AZ529" s="203">
        <f t="shared" si="426"/>
        <v>0</v>
      </c>
      <c r="BA529" s="203">
        <f t="shared" si="426"/>
        <v>0</v>
      </c>
      <c r="BB529" s="203">
        <f t="shared" si="426"/>
        <v>0</v>
      </c>
      <c r="BC529" s="614"/>
      <c r="BD529" s="547"/>
      <c r="BE529" s="117"/>
      <c r="BF529" s="118"/>
    </row>
    <row r="530" spans="1:181" s="120" customFormat="1" ht="24.95" customHeight="1" x14ac:dyDescent="0.25">
      <c r="A530" s="836"/>
      <c r="B530" s="664"/>
      <c r="C530" s="665"/>
      <c r="D530" s="878"/>
      <c r="E530" s="846"/>
      <c r="F530" s="828"/>
      <c r="G530" s="839"/>
      <c r="H530" s="828"/>
      <c r="I530" s="842"/>
      <c r="J530" s="828"/>
      <c r="K530" s="772"/>
      <c r="L530" s="829"/>
      <c r="M530" s="724"/>
      <c r="N530" s="733"/>
      <c r="O530" s="787"/>
      <c r="P530" s="824"/>
      <c r="Q530" s="719"/>
      <c r="R530" s="719"/>
      <c r="S530" s="825"/>
      <c r="T530" s="766"/>
      <c r="U530" s="172" t="s">
        <v>96</v>
      </c>
      <c r="V530" s="123">
        <f t="shared" ref="V530:AC530" si="427">IF((V528/V529)&lt;$I$8,(V528/V529),IF((V528/V529)&lt;$J$8,(V528/V529),IF((V528/V529)&lt;$J$9,(V528/V529),IF((V528/V529)&gt;=$J$9,$J$9))))</f>
        <v>0</v>
      </c>
      <c r="W530" s="123">
        <f t="shared" si="427"/>
        <v>0</v>
      </c>
      <c r="X530" s="123">
        <f t="shared" si="427"/>
        <v>0</v>
      </c>
      <c r="Y530" s="123">
        <f t="shared" si="427"/>
        <v>0</v>
      </c>
      <c r="Z530" s="123">
        <f t="shared" si="427"/>
        <v>0</v>
      </c>
      <c r="AA530" s="123">
        <f t="shared" si="427"/>
        <v>0</v>
      </c>
      <c r="AB530" s="123">
        <f t="shared" si="427"/>
        <v>0</v>
      </c>
      <c r="AC530" s="123">
        <f t="shared" si="427"/>
        <v>0</v>
      </c>
      <c r="AD530" s="873"/>
      <c r="AE530" s="876"/>
      <c r="AF530" s="876"/>
      <c r="AG530" s="876"/>
      <c r="AH530" s="823"/>
      <c r="AI530" s="821"/>
      <c r="AJ530" s="821"/>
      <c r="AK530" s="821"/>
      <c r="AL530" s="821"/>
      <c r="AM530" s="821"/>
      <c r="AN530" s="821"/>
      <c r="AO530" s="821"/>
      <c r="AP530" s="821"/>
      <c r="AQ530" s="821"/>
      <c r="AR530" s="821"/>
      <c r="AS530" s="822"/>
      <c r="AT530" s="190" t="s">
        <v>132</v>
      </c>
      <c r="AU530" s="575"/>
      <c r="AV530" s="576"/>
      <c r="AW530" s="576"/>
      <c r="AX530" s="576"/>
      <c r="AY530" s="576"/>
      <c r="AZ530" s="576"/>
      <c r="BA530" s="576"/>
      <c r="BB530" s="577"/>
      <c r="BC530" s="615"/>
      <c r="BD530" s="547"/>
      <c r="BE530" s="117"/>
      <c r="BF530" s="118"/>
    </row>
    <row r="531" spans="1:181" s="120" customFormat="1" ht="92.25" customHeight="1" x14ac:dyDescent="0.25">
      <c r="A531" s="128"/>
      <c r="B531" s="664"/>
      <c r="C531" s="665">
        <v>16</v>
      </c>
      <c r="D531" s="878"/>
      <c r="E531" s="743" t="s">
        <v>513</v>
      </c>
      <c r="F531" s="826">
        <v>0.03</v>
      </c>
      <c r="G531" s="833" t="s">
        <v>702</v>
      </c>
      <c r="H531" s="826">
        <v>1</v>
      </c>
      <c r="I531" s="830" t="s">
        <v>852</v>
      </c>
      <c r="J531" s="826">
        <v>0.67</v>
      </c>
      <c r="K531" s="722" t="s">
        <v>853</v>
      </c>
      <c r="L531" s="829" t="s">
        <v>854</v>
      </c>
      <c r="M531" s="722" t="str">
        <f t="shared" ref="M531" si="428">CONCATENATE(U531,$U$32,U532)</f>
        <v xml:space="preserve">[[((Resmas de papel usadas para impresión  percápita en el trimestre actual-Resmas de papel usadas para impresión pércapita en el mismo trimestre del año anterior)/Resmas de papel usadas para impresión  pércapita en el mismo trimestre del año anterior) * -1] + (100%-Porcentaje de reducción pércapita  programado por trimestre)] / /Cumplimiento de la meta </v>
      </c>
      <c r="N531" s="733" t="s">
        <v>855</v>
      </c>
      <c r="O531" s="785" t="s">
        <v>773</v>
      </c>
      <c r="P531" s="824" t="s">
        <v>90</v>
      </c>
      <c r="Q531" s="719" t="s">
        <v>801</v>
      </c>
      <c r="R531" s="719">
        <v>1</v>
      </c>
      <c r="S531" s="825" t="s">
        <v>856</v>
      </c>
      <c r="T531" s="764" t="s">
        <v>151</v>
      </c>
      <c r="U531" s="163" t="s">
        <v>857</v>
      </c>
      <c r="V531" s="404"/>
      <c r="W531" s="383"/>
      <c r="X531" s="383"/>
      <c r="Y531" s="383"/>
      <c r="Z531" s="399"/>
      <c r="AA531" s="399"/>
      <c r="AB531" s="399"/>
      <c r="AC531" s="399"/>
      <c r="AD531" s="873"/>
      <c r="AE531" s="876"/>
      <c r="AF531" s="876"/>
      <c r="AG531" s="876"/>
      <c r="AH531" s="823" t="s">
        <v>776</v>
      </c>
      <c r="AI531" s="819" t="s">
        <v>776</v>
      </c>
      <c r="AJ531" s="819" t="s">
        <v>94</v>
      </c>
      <c r="AK531" s="819"/>
      <c r="AL531" s="819"/>
      <c r="AM531" s="819"/>
      <c r="AN531" s="819"/>
      <c r="AO531" s="819"/>
      <c r="AP531" s="819" t="s">
        <v>94</v>
      </c>
      <c r="AQ531" s="822"/>
      <c r="AR531" s="819"/>
      <c r="AS531" s="819" t="s">
        <v>94</v>
      </c>
      <c r="AT531" s="190" t="s">
        <v>129</v>
      </c>
      <c r="AU531" s="203">
        <f t="shared" ref="AU531:BB531" si="429">+V533*$J$531</f>
        <v>0</v>
      </c>
      <c r="AV531" s="203">
        <f t="shared" si="429"/>
        <v>0</v>
      </c>
      <c r="AW531" s="203">
        <f t="shared" si="429"/>
        <v>0</v>
      </c>
      <c r="AX531" s="203">
        <f t="shared" si="429"/>
        <v>0</v>
      </c>
      <c r="AY531" s="203">
        <f t="shared" si="429"/>
        <v>0</v>
      </c>
      <c r="AZ531" s="203">
        <f t="shared" si="429"/>
        <v>0</v>
      </c>
      <c r="BA531" s="203">
        <f t="shared" si="429"/>
        <v>0</v>
      </c>
      <c r="BB531" s="203">
        <f t="shared" si="429"/>
        <v>0</v>
      </c>
      <c r="BC531" s="601">
        <f>+BB533</f>
        <v>0</v>
      </c>
      <c r="BD531" s="547"/>
      <c r="BE531" s="117"/>
      <c r="BF531" s="118"/>
    </row>
    <row r="532" spans="1:181" s="120" customFormat="1" ht="54.95" customHeight="1" thickBot="1" x14ac:dyDescent="0.3">
      <c r="A532" s="128"/>
      <c r="B532" s="664"/>
      <c r="C532" s="665"/>
      <c r="D532" s="878"/>
      <c r="E532" s="743"/>
      <c r="F532" s="827"/>
      <c r="G532" s="834"/>
      <c r="H532" s="827"/>
      <c r="I532" s="831"/>
      <c r="J532" s="827"/>
      <c r="K532" s="723"/>
      <c r="L532" s="829"/>
      <c r="M532" s="723"/>
      <c r="N532" s="733"/>
      <c r="O532" s="786"/>
      <c r="P532" s="824"/>
      <c r="Q532" s="719"/>
      <c r="R532" s="719"/>
      <c r="S532" s="825"/>
      <c r="T532" s="765"/>
      <c r="U532" s="194" t="s">
        <v>858</v>
      </c>
      <c r="V532" s="405">
        <v>1</v>
      </c>
      <c r="W532" s="405">
        <v>1</v>
      </c>
      <c r="X532" s="405">
        <v>1</v>
      </c>
      <c r="Y532" s="405">
        <v>1</v>
      </c>
      <c r="Z532" s="405">
        <v>1</v>
      </c>
      <c r="AA532" s="405">
        <v>1</v>
      </c>
      <c r="AB532" s="405">
        <v>1</v>
      </c>
      <c r="AC532" s="405">
        <v>1</v>
      </c>
      <c r="AD532" s="873"/>
      <c r="AE532" s="876"/>
      <c r="AF532" s="876"/>
      <c r="AG532" s="876"/>
      <c r="AH532" s="823"/>
      <c r="AI532" s="820"/>
      <c r="AJ532" s="820"/>
      <c r="AK532" s="820"/>
      <c r="AL532" s="820"/>
      <c r="AM532" s="820"/>
      <c r="AN532" s="820"/>
      <c r="AO532" s="820"/>
      <c r="AP532" s="820"/>
      <c r="AQ532" s="822"/>
      <c r="AR532" s="820"/>
      <c r="AS532" s="820"/>
      <c r="AT532" s="190" t="s">
        <v>131</v>
      </c>
      <c r="AU532" s="203">
        <f>+(AU531+AU534)*$H$531</f>
        <v>0</v>
      </c>
      <c r="AV532" s="203">
        <f t="shared" ref="AV532:BA532" si="430">+(AV531+AV534)*$H$531</f>
        <v>0</v>
      </c>
      <c r="AW532" s="203">
        <f t="shared" si="430"/>
        <v>0</v>
      </c>
      <c r="AX532" s="203">
        <f t="shared" si="430"/>
        <v>0</v>
      </c>
      <c r="AY532" s="203">
        <f t="shared" si="430"/>
        <v>0</v>
      </c>
      <c r="AZ532" s="203">
        <f t="shared" si="430"/>
        <v>0</v>
      </c>
      <c r="BA532" s="203">
        <f t="shared" si="430"/>
        <v>0</v>
      </c>
      <c r="BB532" s="203">
        <f>+(BB531+BB534)*$H$531</f>
        <v>0</v>
      </c>
      <c r="BC532" s="614"/>
      <c r="BD532" s="547"/>
      <c r="BE532" s="117"/>
      <c r="BF532" s="118"/>
    </row>
    <row r="533" spans="1:181" s="120" customFormat="1" ht="24.95" customHeight="1" thickBot="1" x14ac:dyDescent="0.3">
      <c r="A533" s="128"/>
      <c r="B533" s="664"/>
      <c r="C533" s="665"/>
      <c r="D533" s="878"/>
      <c r="E533" s="743"/>
      <c r="F533" s="827"/>
      <c r="G533" s="834"/>
      <c r="H533" s="827"/>
      <c r="I533" s="831"/>
      <c r="J533" s="828"/>
      <c r="K533" s="724"/>
      <c r="L533" s="829"/>
      <c r="M533" s="724"/>
      <c r="N533" s="733"/>
      <c r="O533" s="787"/>
      <c r="P533" s="824"/>
      <c r="Q533" s="719"/>
      <c r="R533" s="719"/>
      <c r="S533" s="825"/>
      <c r="T533" s="766"/>
      <c r="U533" s="172" t="s">
        <v>96</v>
      </c>
      <c r="V533" s="123">
        <f t="shared" ref="V533:Y533" si="431">IF((V531/V532)&lt;$I$8,(V531/V532),IF((V531/V532)&lt;$J$8,(V531/V532),IF((V531/V532)&lt;$J$9,(V531/V532),IF((V531/V532)&gt;=$J$9,$J$9))))</f>
        <v>0</v>
      </c>
      <c r="W533" s="123">
        <f t="shared" si="431"/>
        <v>0</v>
      </c>
      <c r="X533" s="123">
        <f t="shared" si="431"/>
        <v>0</v>
      </c>
      <c r="Y533" s="123">
        <f t="shared" si="431"/>
        <v>0</v>
      </c>
      <c r="Z533" s="123">
        <f>IF((Z531/AC532)&lt;$I$8,(Z531/AC532),IF((Z531/AC532)&lt;$J$8,(Z531/AC532),IF((Z531/AC532)&lt;$J$9,(Z531/AC532),IF((Z531/AC532)&gt;=$J$9,$J$9))))</f>
        <v>0</v>
      </c>
      <c r="AA533" s="123">
        <f t="shared" ref="AA533:AC533" si="432">IF((AA531/AA532)&lt;$I$8,(AA531/AA532),IF((AA531/AA532)&lt;$J$8,(AA531/AA532),IF((AA531/AA532)&lt;$J$9,(AA531/AA532),IF((AA531/AA532)&gt;=$J$9,$J$9))))</f>
        <v>0</v>
      </c>
      <c r="AB533" s="123">
        <f t="shared" si="432"/>
        <v>0</v>
      </c>
      <c r="AC533" s="123">
        <f t="shared" si="432"/>
        <v>0</v>
      </c>
      <c r="AD533" s="873"/>
      <c r="AE533" s="876"/>
      <c r="AF533" s="876"/>
      <c r="AG533" s="876"/>
      <c r="AH533" s="823"/>
      <c r="AI533" s="821"/>
      <c r="AJ533" s="821"/>
      <c r="AK533" s="821"/>
      <c r="AL533" s="821"/>
      <c r="AM533" s="821"/>
      <c r="AN533" s="821"/>
      <c r="AO533" s="821"/>
      <c r="AP533" s="821"/>
      <c r="AQ533" s="822"/>
      <c r="AR533" s="821"/>
      <c r="AS533" s="821"/>
      <c r="AT533" s="190" t="s">
        <v>132</v>
      </c>
      <c r="AU533" s="203">
        <f>+AU532*$F$531</f>
        <v>0</v>
      </c>
      <c r="AV533" s="203">
        <f t="shared" ref="AV533:BB533" si="433">+AV532*$F$531</f>
        <v>0</v>
      </c>
      <c r="AW533" s="203">
        <f t="shared" si="433"/>
        <v>0</v>
      </c>
      <c r="AX533" s="203">
        <f t="shared" si="433"/>
        <v>0</v>
      </c>
      <c r="AY533" s="203">
        <f t="shared" si="433"/>
        <v>0</v>
      </c>
      <c r="AZ533" s="203">
        <f t="shared" si="433"/>
        <v>0</v>
      </c>
      <c r="BA533" s="203">
        <f t="shared" si="433"/>
        <v>0</v>
      </c>
      <c r="BB533" s="127">
        <f t="shared" si="433"/>
        <v>0</v>
      </c>
      <c r="BC533" s="614"/>
      <c r="BD533" s="547"/>
      <c r="BE533" s="117"/>
      <c r="BF533" s="118"/>
    </row>
    <row r="534" spans="1:181" s="120" customFormat="1" ht="54.95" customHeight="1" x14ac:dyDescent="0.25">
      <c r="A534" s="675"/>
      <c r="B534" s="664"/>
      <c r="C534" s="665">
        <v>17</v>
      </c>
      <c r="D534" s="878"/>
      <c r="E534" s="743"/>
      <c r="F534" s="827"/>
      <c r="G534" s="834"/>
      <c r="H534" s="827"/>
      <c r="I534" s="831"/>
      <c r="J534" s="826">
        <v>0.33</v>
      </c>
      <c r="K534" s="770" t="s">
        <v>859</v>
      </c>
      <c r="L534" s="829" t="s">
        <v>860</v>
      </c>
      <c r="M534" s="722" t="str">
        <f t="shared" ref="M534" si="434">CONCATENATE(U534,$U$32,U535)</f>
        <v>Actividades de sensibilización ambiental realizadas en el semestre / No. de actividades de sensibilización ambiental  programadas  en el semestre</v>
      </c>
      <c r="N534" s="733" t="s">
        <v>861</v>
      </c>
      <c r="O534" s="785" t="s">
        <v>862</v>
      </c>
      <c r="P534" s="824">
        <v>0.03</v>
      </c>
      <c r="Q534" s="719" t="s">
        <v>801</v>
      </c>
      <c r="R534" s="719">
        <v>1</v>
      </c>
      <c r="S534" s="825" t="s">
        <v>863</v>
      </c>
      <c r="T534" s="764" t="s">
        <v>151</v>
      </c>
      <c r="U534" s="163" t="s">
        <v>864</v>
      </c>
      <c r="V534" s="164"/>
      <c r="W534" s="164"/>
      <c r="X534" s="164"/>
      <c r="Y534" s="164"/>
      <c r="Z534" s="332"/>
      <c r="AA534" s="332"/>
      <c r="AB534" s="332"/>
      <c r="AC534" s="332"/>
      <c r="AD534" s="873"/>
      <c r="AE534" s="876"/>
      <c r="AF534" s="876"/>
      <c r="AG534" s="876"/>
      <c r="AH534" s="823" t="s">
        <v>776</v>
      </c>
      <c r="AI534" s="819" t="s">
        <v>776</v>
      </c>
      <c r="AJ534" s="819" t="s">
        <v>94</v>
      </c>
      <c r="AK534" s="819"/>
      <c r="AL534" s="819"/>
      <c r="AM534" s="819"/>
      <c r="AN534" s="819" t="s">
        <v>94</v>
      </c>
      <c r="AO534" s="819"/>
      <c r="AP534" s="819"/>
      <c r="AQ534" s="819" t="s">
        <v>94</v>
      </c>
      <c r="AR534" s="819"/>
      <c r="AS534" s="822"/>
      <c r="AT534" s="190" t="s">
        <v>129</v>
      </c>
      <c r="AU534" s="197">
        <f t="shared" ref="AU534:BB534" si="435">+V536*$J$534</f>
        <v>0</v>
      </c>
      <c r="AV534" s="203">
        <f t="shared" si="435"/>
        <v>0</v>
      </c>
      <c r="AW534" s="197">
        <f t="shared" si="435"/>
        <v>0</v>
      </c>
      <c r="AX534" s="203">
        <f t="shared" si="435"/>
        <v>0</v>
      </c>
      <c r="AY534" s="197">
        <f t="shared" si="435"/>
        <v>0</v>
      </c>
      <c r="AZ534" s="203">
        <f t="shared" si="435"/>
        <v>0</v>
      </c>
      <c r="BA534" s="197">
        <f t="shared" si="435"/>
        <v>0</v>
      </c>
      <c r="BB534" s="203">
        <f t="shared" si="435"/>
        <v>0</v>
      </c>
      <c r="BC534" s="614"/>
      <c r="BD534" s="547"/>
      <c r="BE534" s="117"/>
      <c r="BF534" s="118"/>
    </row>
    <row r="535" spans="1:181" s="120" customFormat="1" ht="54.95" customHeight="1" x14ac:dyDescent="0.25">
      <c r="A535" s="675"/>
      <c r="B535" s="664"/>
      <c r="C535" s="665"/>
      <c r="D535" s="878"/>
      <c r="E535" s="743"/>
      <c r="F535" s="827"/>
      <c r="G535" s="834"/>
      <c r="H535" s="827"/>
      <c r="I535" s="831"/>
      <c r="J535" s="827"/>
      <c r="K535" s="771"/>
      <c r="L535" s="829"/>
      <c r="M535" s="723"/>
      <c r="N535" s="733"/>
      <c r="O535" s="786"/>
      <c r="P535" s="824"/>
      <c r="Q535" s="719"/>
      <c r="R535" s="719"/>
      <c r="S535" s="825"/>
      <c r="T535" s="765"/>
      <c r="U535" s="194" t="s">
        <v>865</v>
      </c>
      <c r="V535" s="220">
        <v>0.1</v>
      </c>
      <c r="W535" s="220">
        <v>1</v>
      </c>
      <c r="X535" s="220">
        <v>0.01</v>
      </c>
      <c r="Y535" s="220">
        <v>1</v>
      </c>
      <c r="Z535" s="220">
        <v>0.01</v>
      </c>
      <c r="AA535" s="220">
        <f>+V535+W535</f>
        <v>1.1000000000000001</v>
      </c>
      <c r="AB535" s="220">
        <v>0.01</v>
      </c>
      <c r="AC535" s="220">
        <f>+V535+W535+X535+Y535</f>
        <v>2.1100000000000003</v>
      </c>
      <c r="AD535" s="873"/>
      <c r="AE535" s="876"/>
      <c r="AF535" s="876"/>
      <c r="AG535" s="876"/>
      <c r="AH535" s="823"/>
      <c r="AI535" s="820"/>
      <c r="AJ535" s="820"/>
      <c r="AK535" s="820"/>
      <c r="AL535" s="820"/>
      <c r="AM535" s="820"/>
      <c r="AN535" s="820"/>
      <c r="AO535" s="820"/>
      <c r="AP535" s="820"/>
      <c r="AQ535" s="820"/>
      <c r="AR535" s="820"/>
      <c r="AS535" s="822"/>
      <c r="AT535" s="190" t="s">
        <v>131</v>
      </c>
      <c r="AU535" s="203">
        <f>+AU534*$H$534</f>
        <v>0</v>
      </c>
      <c r="AV535" s="203">
        <f t="shared" ref="AV535:BB535" si="436">+AV534*$H$534</f>
        <v>0</v>
      </c>
      <c r="AW535" s="203">
        <f t="shared" si="436"/>
        <v>0</v>
      </c>
      <c r="AX535" s="203">
        <f t="shared" si="436"/>
        <v>0</v>
      </c>
      <c r="AY535" s="203">
        <f t="shared" si="436"/>
        <v>0</v>
      </c>
      <c r="AZ535" s="203">
        <f t="shared" si="436"/>
        <v>0</v>
      </c>
      <c r="BA535" s="203">
        <f t="shared" si="436"/>
        <v>0</v>
      </c>
      <c r="BB535" s="203">
        <f t="shared" si="436"/>
        <v>0</v>
      </c>
      <c r="BC535" s="614"/>
      <c r="BD535" s="547"/>
      <c r="BE535" s="117"/>
      <c r="BF535" s="118"/>
    </row>
    <row r="536" spans="1:181" s="120" customFormat="1" ht="24.95" customHeight="1" x14ac:dyDescent="0.25">
      <c r="A536" s="675"/>
      <c r="B536" s="664"/>
      <c r="C536" s="665"/>
      <c r="D536" s="878"/>
      <c r="E536" s="743"/>
      <c r="F536" s="828"/>
      <c r="G536" s="835"/>
      <c r="H536" s="828"/>
      <c r="I536" s="832"/>
      <c r="J536" s="828"/>
      <c r="K536" s="772"/>
      <c r="L536" s="829"/>
      <c r="M536" s="724"/>
      <c r="N536" s="733"/>
      <c r="O536" s="787"/>
      <c r="P536" s="824"/>
      <c r="Q536" s="719"/>
      <c r="R536" s="719"/>
      <c r="S536" s="825"/>
      <c r="T536" s="766"/>
      <c r="U536" s="172" t="s">
        <v>96</v>
      </c>
      <c r="V536" s="197">
        <f t="shared" ref="V536:AC536" si="437">IF((V534/V535)&lt;$I$8,(V534/V535),IF((V534/V535)&lt;$J$8,(V534/V535),IF((V534/V535)&lt;$J$9,(V534/V535),IF((V534/V535)&gt;=$J$9,$J$9))))</f>
        <v>0</v>
      </c>
      <c r="W536" s="123">
        <f t="shared" si="437"/>
        <v>0</v>
      </c>
      <c r="X536" s="197">
        <f t="shared" si="437"/>
        <v>0</v>
      </c>
      <c r="Y536" s="123">
        <f t="shared" si="437"/>
        <v>0</v>
      </c>
      <c r="Z536" s="197">
        <f t="shared" si="437"/>
        <v>0</v>
      </c>
      <c r="AA536" s="123">
        <f t="shared" si="437"/>
        <v>0</v>
      </c>
      <c r="AB536" s="197">
        <f t="shared" si="437"/>
        <v>0</v>
      </c>
      <c r="AC536" s="123">
        <f t="shared" si="437"/>
        <v>0</v>
      </c>
      <c r="AD536" s="874"/>
      <c r="AE536" s="877"/>
      <c r="AF536" s="877"/>
      <c r="AG536" s="877"/>
      <c r="AH536" s="823"/>
      <c r="AI536" s="821"/>
      <c r="AJ536" s="821"/>
      <c r="AK536" s="821"/>
      <c r="AL536" s="821"/>
      <c r="AM536" s="821"/>
      <c r="AN536" s="821"/>
      <c r="AO536" s="821"/>
      <c r="AP536" s="821"/>
      <c r="AQ536" s="821"/>
      <c r="AR536" s="821"/>
      <c r="AS536" s="822"/>
      <c r="AT536" s="190" t="s">
        <v>132</v>
      </c>
      <c r="AU536" s="599"/>
      <c r="AV536" s="600"/>
      <c r="AW536" s="600"/>
      <c r="AX536" s="600"/>
      <c r="AY536" s="600"/>
      <c r="AZ536" s="600"/>
      <c r="BA536" s="600"/>
      <c r="BB536" s="601"/>
      <c r="BC536" s="615"/>
      <c r="BD536" s="548"/>
      <c r="BE536" s="117"/>
      <c r="BF536" s="118"/>
    </row>
    <row r="537" spans="1:181" s="159" customFormat="1" ht="24.95" hidden="1" customHeight="1" thickBot="1" x14ac:dyDescent="0.3">
      <c r="A537" s="44"/>
      <c r="B537" s="151"/>
      <c r="C537" s="178">
        <f>+C534+C473</f>
        <v>107</v>
      </c>
      <c r="D537" s="144"/>
      <c r="E537" s="144"/>
      <c r="F537" s="144"/>
      <c r="G537" s="144"/>
      <c r="H537" s="154"/>
      <c r="I537" s="155"/>
      <c r="J537" s="154"/>
      <c r="K537" s="155"/>
      <c r="L537" s="155"/>
      <c r="M537" s="155"/>
      <c r="N537" s="155"/>
      <c r="O537" s="155"/>
      <c r="P537" s="155"/>
      <c r="Q537" s="155"/>
      <c r="R537" s="155"/>
      <c r="S537" s="154"/>
      <c r="T537" s="154"/>
      <c r="U537" s="214"/>
      <c r="V537" s="157"/>
      <c r="W537" s="157"/>
      <c r="X537" s="157"/>
      <c r="Y537" s="157"/>
      <c r="Z537" s="157"/>
      <c r="AA537" s="157"/>
      <c r="AB537" s="157"/>
      <c r="AC537" s="157"/>
      <c r="AD537" s="158"/>
      <c r="AE537" s="157"/>
      <c r="AF537" s="157"/>
      <c r="AG537" s="157"/>
      <c r="AH537" s="157"/>
      <c r="AI537" s="157"/>
      <c r="AJ537" s="145">
        <f>COUNTA(AJ486:AJ536)</f>
        <v>13</v>
      </c>
      <c r="AK537" s="145">
        <f t="shared" ref="AK537:AS537" si="438">COUNTA(AK486:AK536)</f>
        <v>0</v>
      </c>
      <c r="AL537" s="145">
        <f t="shared" si="438"/>
        <v>0</v>
      </c>
      <c r="AM537" s="145">
        <f t="shared" si="438"/>
        <v>7</v>
      </c>
      <c r="AN537" s="145">
        <f t="shared" si="438"/>
        <v>8</v>
      </c>
      <c r="AO537" s="145">
        <f t="shared" si="438"/>
        <v>1</v>
      </c>
      <c r="AP537" s="145">
        <f t="shared" si="438"/>
        <v>4</v>
      </c>
      <c r="AQ537" s="145">
        <f t="shared" si="438"/>
        <v>10</v>
      </c>
      <c r="AR537" s="145">
        <f t="shared" si="438"/>
        <v>0</v>
      </c>
      <c r="AS537" s="145">
        <f t="shared" si="438"/>
        <v>3</v>
      </c>
      <c r="AT537" s="157"/>
      <c r="AU537" s="358">
        <f>+AU488+AU521+AU533</f>
        <v>0</v>
      </c>
      <c r="AV537" s="358">
        <f t="shared" ref="AV537:BB537" si="439">+AV488+AV521+AV533</f>
        <v>0</v>
      </c>
      <c r="AW537" s="358">
        <f t="shared" si="439"/>
        <v>0</v>
      </c>
      <c r="AX537" s="358">
        <f t="shared" si="439"/>
        <v>0</v>
      </c>
      <c r="AY537" s="360">
        <f t="shared" si="439"/>
        <v>0</v>
      </c>
      <c r="AZ537" s="358">
        <f t="shared" si="439"/>
        <v>0</v>
      </c>
      <c r="BA537" s="358">
        <f t="shared" si="439"/>
        <v>0</v>
      </c>
      <c r="BB537" s="358">
        <f t="shared" si="439"/>
        <v>0</v>
      </c>
      <c r="BC537" s="157"/>
      <c r="BD537" s="157"/>
      <c r="BE537" s="48"/>
      <c r="BF537" s="49"/>
      <c r="BG537" s="50"/>
      <c r="BH537" s="50"/>
      <c r="BI537" s="50"/>
      <c r="BJ537" s="50"/>
      <c r="BK537" s="50"/>
      <c r="BL537" s="50"/>
      <c r="BM537" s="50"/>
      <c r="BN537" s="50"/>
      <c r="BO537" s="50"/>
      <c r="BP537" s="50"/>
      <c r="BQ537" s="50"/>
      <c r="BR537" s="50"/>
      <c r="BS537" s="50"/>
      <c r="BT537" s="50"/>
      <c r="BU537" s="50"/>
      <c r="BV537" s="50"/>
      <c r="BW537" s="50"/>
      <c r="BX537" s="50"/>
      <c r="BY537" s="50"/>
      <c r="BZ537" s="50"/>
      <c r="CA537" s="50"/>
      <c r="CB537" s="50"/>
      <c r="CC537" s="50"/>
      <c r="CD537" s="50"/>
      <c r="CE537" s="50"/>
      <c r="CF537" s="50"/>
      <c r="CG537" s="50"/>
      <c r="CH537" s="50"/>
      <c r="CI537" s="50"/>
      <c r="CJ537" s="50"/>
      <c r="CK537" s="50"/>
      <c r="CL537" s="50"/>
      <c r="CM537" s="50"/>
      <c r="CN537" s="50"/>
      <c r="CO537" s="50"/>
      <c r="CP537" s="50"/>
      <c r="CQ537" s="50"/>
      <c r="CR537" s="50"/>
      <c r="CS537" s="50"/>
      <c r="CT537" s="50"/>
      <c r="CU537" s="50"/>
      <c r="CV537" s="50"/>
      <c r="CW537" s="50"/>
      <c r="CX537" s="50"/>
      <c r="CY537" s="50"/>
      <c r="CZ537" s="50"/>
      <c r="DA537" s="50"/>
      <c r="DB537" s="50"/>
      <c r="DC537" s="50"/>
      <c r="DD537" s="50"/>
      <c r="DE537" s="50"/>
      <c r="DF537" s="50"/>
      <c r="DG537" s="50"/>
      <c r="DH537" s="50"/>
      <c r="DI537" s="50"/>
      <c r="DJ537" s="50"/>
      <c r="DK537" s="50"/>
      <c r="DL537" s="50"/>
      <c r="DM537" s="50"/>
      <c r="DN537" s="50"/>
      <c r="DO537" s="50"/>
      <c r="DP537" s="50"/>
      <c r="DQ537" s="50"/>
      <c r="DR537" s="50"/>
      <c r="DS537" s="50"/>
      <c r="DT537" s="50"/>
      <c r="DU537" s="50"/>
      <c r="DV537" s="50"/>
      <c r="DW537" s="50"/>
      <c r="DX537" s="50"/>
      <c r="DY537" s="50"/>
      <c r="DZ537" s="50"/>
      <c r="EA537" s="50"/>
      <c r="EB537" s="50"/>
      <c r="EC537" s="50"/>
      <c r="ED537" s="50"/>
      <c r="EE537" s="50"/>
      <c r="EF537" s="50"/>
      <c r="EG537" s="50"/>
      <c r="EH537" s="50"/>
      <c r="EI537" s="50"/>
      <c r="EJ537" s="50"/>
      <c r="EK537" s="50"/>
      <c r="EL537" s="50"/>
      <c r="EM537" s="50"/>
      <c r="EN537" s="50"/>
      <c r="EO537" s="50"/>
      <c r="EP537" s="50"/>
      <c r="EQ537" s="50"/>
      <c r="ER537" s="50"/>
      <c r="ES537" s="50"/>
      <c r="ET537" s="50"/>
      <c r="EU537" s="50"/>
      <c r="EV537" s="50"/>
      <c r="EW537" s="50"/>
      <c r="EX537" s="50"/>
      <c r="EY537" s="50"/>
      <c r="EZ537" s="50"/>
      <c r="FA537" s="50"/>
      <c r="FB537" s="50"/>
      <c r="FC537" s="50"/>
      <c r="FD537" s="50"/>
      <c r="FE537" s="50"/>
      <c r="FF537" s="50"/>
      <c r="FG537" s="50"/>
      <c r="FH537" s="50"/>
      <c r="FI537" s="50"/>
      <c r="FJ537" s="50"/>
      <c r="FK537" s="50"/>
      <c r="FL537" s="50"/>
      <c r="FM537" s="50"/>
      <c r="FN537" s="50"/>
      <c r="FO537" s="50"/>
      <c r="FP537" s="50"/>
      <c r="FQ537" s="50"/>
      <c r="FR537" s="50"/>
      <c r="FS537" s="50"/>
      <c r="FT537" s="50"/>
      <c r="FU537" s="50"/>
      <c r="FV537" s="50"/>
      <c r="FW537" s="50"/>
      <c r="FX537" s="50"/>
      <c r="FY537" s="50"/>
    </row>
    <row r="538" spans="1:181" s="159" customFormat="1" ht="20.100000000000001" hidden="1" customHeight="1" x14ac:dyDescent="0.25">
      <c r="A538" s="44"/>
      <c r="B538" s="151"/>
      <c r="C538" s="152"/>
      <c r="D538" s="153"/>
      <c r="E538" s="153"/>
      <c r="F538" s="153"/>
      <c r="G538" s="153"/>
      <c r="H538" s="154"/>
      <c r="I538" s="155"/>
      <c r="J538" s="154"/>
      <c r="K538" s="155"/>
      <c r="L538" s="155"/>
      <c r="M538" s="155"/>
      <c r="N538" s="155"/>
      <c r="O538" s="155"/>
      <c r="P538" s="155"/>
      <c r="Q538" s="646" t="s">
        <v>154</v>
      </c>
      <c r="R538" s="646"/>
      <c r="S538" s="646"/>
      <c r="T538" s="646"/>
      <c r="U538" s="646"/>
      <c r="V538" s="156">
        <v>7</v>
      </c>
      <c r="W538" s="156">
        <v>10</v>
      </c>
      <c r="X538" s="156">
        <v>11</v>
      </c>
      <c r="Y538" s="156">
        <f>+C534</f>
        <v>17</v>
      </c>
      <c r="Z538" s="157"/>
      <c r="AA538" s="157"/>
      <c r="AB538" s="157"/>
      <c r="AC538" s="157"/>
      <c r="AD538" s="158"/>
      <c r="AE538" s="157"/>
      <c r="AF538" s="157"/>
      <c r="AG538" s="157"/>
      <c r="AH538" s="157"/>
      <c r="AI538" s="157"/>
      <c r="AJ538" s="157"/>
      <c r="AK538" s="157"/>
      <c r="AL538" s="157"/>
      <c r="AM538" s="157"/>
      <c r="AN538" s="157"/>
      <c r="AO538" s="157"/>
      <c r="AP538" s="157"/>
      <c r="AQ538" s="157"/>
      <c r="AR538" s="157"/>
      <c r="AS538" s="157"/>
      <c r="AT538" s="157"/>
      <c r="AU538" s="157"/>
      <c r="AV538" s="157"/>
      <c r="AW538" s="157"/>
      <c r="AX538" s="157"/>
      <c r="AY538" s="157"/>
      <c r="AZ538" s="157"/>
      <c r="BA538" s="157"/>
      <c r="BB538" s="157"/>
      <c r="BC538" s="157"/>
      <c r="BD538" s="157"/>
      <c r="BE538" s="48"/>
      <c r="BF538" s="49"/>
      <c r="BG538" s="50"/>
      <c r="BH538" s="50"/>
      <c r="BI538" s="50"/>
      <c r="BJ538" s="50"/>
      <c r="BK538" s="50"/>
      <c r="BL538" s="50"/>
      <c r="BM538" s="50"/>
      <c r="BN538" s="50"/>
      <c r="BO538" s="50"/>
      <c r="BP538" s="50"/>
      <c r="BQ538" s="50"/>
      <c r="BR538" s="50"/>
      <c r="BS538" s="50"/>
      <c r="BT538" s="50"/>
      <c r="BU538" s="50"/>
      <c r="BV538" s="50"/>
      <c r="BW538" s="50"/>
      <c r="BX538" s="50"/>
      <c r="BY538" s="50"/>
      <c r="BZ538" s="50"/>
      <c r="CA538" s="50"/>
      <c r="CB538" s="50"/>
      <c r="CC538" s="50"/>
      <c r="CD538" s="50"/>
      <c r="CE538" s="50"/>
      <c r="CF538" s="50"/>
      <c r="CG538" s="50"/>
      <c r="CH538" s="50"/>
      <c r="CI538" s="50"/>
      <c r="CJ538" s="50"/>
      <c r="CK538" s="50"/>
      <c r="CL538" s="50"/>
      <c r="CM538" s="50"/>
      <c r="CN538" s="50"/>
      <c r="CO538" s="50"/>
      <c r="CP538" s="50"/>
      <c r="CQ538" s="50"/>
      <c r="CR538" s="50"/>
      <c r="CS538" s="50"/>
      <c r="CT538" s="50"/>
      <c r="CU538" s="50"/>
      <c r="CV538" s="50"/>
      <c r="CW538" s="50"/>
      <c r="CX538" s="50"/>
      <c r="CY538" s="50"/>
      <c r="CZ538" s="50"/>
      <c r="DA538" s="50"/>
      <c r="DB538" s="50"/>
      <c r="DC538" s="50"/>
      <c r="DD538" s="50"/>
      <c r="DE538" s="50"/>
      <c r="DF538" s="50"/>
      <c r="DG538" s="50"/>
      <c r="DH538" s="50"/>
      <c r="DI538" s="50"/>
      <c r="DJ538" s="50"/>
      <c r="DK538" s="50"/>
      <c r="DL538" s="50"/>
      <c r="DM538" s="50"/>
      <c r="DN538" s="50"/>
      <c r="DO538" s="50"/>
      <c r="DP538" s="50"/>
      <c r="DQ538" s="50"/>
      <c r="DR538" s="50"/>
      <c r="DS538" s="50"/>
      <c r="DT538" s="50"/>
      <c r="DU538" s="50"/>
      <c r="DV538" s="50"/>
      <c r="DW538" s="50"/>
      <c r="DX538" s="50"/>
      <c r="DY538" s="50"/>
      <c r="DZ538" s="50"/>
      <c r="EA538" s="50"/>
      <c r="EB538" s="50"/>
      <c r="EC538" s="50"/>
      <c r="ED538" s="50"/>
      <c r="EE538" s="50"/>
      <c r="EF538" s="50"/>
      <c r="EG538" s="50"/>
      <c r="EH538" s="50"/>
      <c r="EI538" s="50"/>
      <c r="EJ538" s="50"/>
      <c r="EK538" s="50"/>
      <c r="EL538" s="50"/>
      <c r="EM538" s="50"/>
      <c r="EN538" s="50"/>
      <c r="EO538" s="50"/>
      <c r="EP538" s="50"/>
      <c r="EQ538" s="50"/>
      <c r="ER538" s="50"/>
      <c r="ES538" s="50"/>
      <c r="ET538" s="50"/>
      <c r="EU538" s="50"/>
      <c r="EV538" s="50"/>
      <c r="EW538" s="50"/>
      <c r="EX538" s="50"/>
      <c r="EY538" s="50"/>
      <c r="EZ538" s="50"/>
      <c r="FA538" s="50"/>
      <c r="FB538" s="50"/>
      <c r="FC538" s="50"/>
      <c r="FD538" s="50"/>
      <c r="FE538" s="50"/>
      <c r="FF538" s="50"/>
      <c r="FG538" s="50"/>
      <c r="FH538" s="50"/>
      <c r="FI538" s="50"/>
      <c r="FJ538" s="50"/>
      <c r="FK538" s="50"/>
      <c r="FL538" s="50"/>
      <c r="FM538" s="50"/>
      <c r="FN538" s="50"/>
      <c r="FO538" s="50"/>
      <c r="FP538" s="50"/>
      <c r="FQ538" s="50"/>
      <c r="FR538" s="50"/>
      <c r="FS538" s="50"/>
      <c r="FT538" s="50"/>
      <c r="FU538" s="50"/>
      <c r="FV538" s="50"/>
      <c r="FW538" s="50"/>
      <c r="FX538" s="50"/>
      <c r="FY538" s="50"/>
    </row>
    <row r="539" spans="1:181" ht="20.100000000000001" hidden="1" customHeight="1" x14ac:dyDescent="0.25">
      <c r="A539" s="44"/>
      <c r="B539" s="151"/>
      <c r="C539" s="152"/>
      <c r="D539" s="153"/>
      <c r="E539" s="153"/>
      <c r="F539" s="153"/>
      <c r="G539" s="153"/>
      <c r="H539" s="154"/>
      <c r="I539" s="155"/>
      <c r="J539" s="154"/>
      <c r="K539" s="155"/>
      <c r="L539" s="155"/>
      <c r="M539" s="155"/>
      <c r="N539" s="155"/>
      <c r="O539" s="155"/>
      <c r="P539" s="155"/>
      <c r="Q539" s="646" t="s">
        <v>155</v>
      </c>
      <c r="R539" s="646"/>
      <c r="S539" s="646"/>
      <c r="T539" s="646"/>
      <c r="U539" s="646"/>
      <c r="V539" s="161">
        <v>7</v>
      </c>
      <c r="W539" s="161">
        <v>10</v>
      </c>
      <c r="X539" s="161"/>
      <c r="Y539" s="161"/>
      <c r="Z539" s="157"/>
      <c r="AA539" s="157"/>
      <c r="AB539" s="157"/>
      <c r="AC539" s="157"/>
      <c r="AD539" s="158"/>
      <c r="AE539" s="157"/>
      <c r="AF539" s="157"/>
      <c r="AG539" s="157"/>
      <c r="AH539" s="157"/>
      <c r="AI539" s="157"/>
      <c r="AJ539" s="157"/>
      <c r="AK539" s="157"/>
      <c r="AL539" s="157"/>
      <c r="AM539" s="157"/>
      <c r="AN539" s="157"/>
      <c r="AO539" s="157"/>
      <c r="AP539" s="157"/>
      <c r="AQ539" s="157"/>
      <c r="AR539" s="157"/>
      <c r="AS539" s="157"/>
      <c r="AT539" s="157"/>
      <c r="AU539" s="157"/>
      <c r="AV539" s="157"/>
      <c r="AW539" s="157"/>
      <c r="AX539" s="157"/>
      <c r="AY539" s="157"/>
      <c r="AZ539" s="157"/>
      <c r="BA539" s="157"/>
      <c r="BB539" s="157"/>
      <c r="BC539" s="157"/>
      <c r="BD539" s="157"/>
      <c r="BE539" s="48"/>
      <c r="BF539" s="49"/>
    </row>
    <row r="540" spans="1:181" ht="20.100000000000001" hidden="1" customHeight="1" x14ac:dyDescent="0.25">
      <c r="A540" s="44"/>
      <c r="B540" s="151"/>
      <c r="C540" s="152"/>
      <c r="D540" s="153"/>
      <c r="E540" s="153"/>
      <c r="F540" s="153"/>
      <c r="G540" s="153"/>
      <c r="H540" s="153"/>
      <c r="I540" s="155"/>
      <c r="J540" s="154"/>
      <c r="K540" s="155"/>
      <c r="L540" s="155"/>
      <c r="M540" s="155"/>
      <c r="N540" s="155"/>
      <c r="O540" s="155"/>
      <c r="P540" s="155"/>
      <c r="Q540" s="646" t="s">
        <v>156</v>
      </c>
      <c r="R540" s="646"/>
      <c r="S540" s="646"/>
      <c r="T540" s="646"/>
      <c r="U540" s="646"/>
      <c r="V540" s="161">
        <v>0</v>
      </c>
      <c r="W540" s="161">
        <v>0</v>
      </c>
      <c r="X540" s="161"/>
      <c r="Y540" s="161"/>
      <c r="Z540" s="157"/>
      <c r="AA540" s="157"/>
      <c r="AB540" s="157"/>
      <c r="AC540" s="157"/>
      <c r="AD540" s="158"/>
      <c r="AE540" s="157"/>
      <c r="AF540" s="157"/>
      <c r="AG540" s="157"/>
      <c r="AH540" s="157"/>
      <c r="AI540" s="157"/>
      <c r="AJ540" s="157"/>
      <c r="AK540" s="157"/>
      <c r="AL540" s="157"/>
      <c r="AM540" s="157"/>
      <c r="AN540" s="157"/>
      <c r="AO540" s="157"/>
      <c r="AP540" s="157"/>
      <c r="AQ540" s="157"/>
      <c r="AR540" s="157"/>
      <c r="AS540" s="157"/>
      <c r="AT540" s="157"/>
      <c r="AU540" s="157"/>
      <c r="AV540" s="157"/>
      <c r="AW540" s="157"/>
      <c r="AX540" s="157"/>
      <c r="AY540" s="157"/>
      <c r="AZ540" s="157"/>
      <c r="BA540" s="157"/>
      <c r="BB540" s="157"/>
      <c r="BC540" s="157"/>
      <c r="BD540" s="157"/>
      <c r="BE540" s="48"/>
      <c r="BF540" s="49"/>
    </row>
    <row r="541" spans="1:181" ht="20.100000000000001" hidden="1" customHeight="1" x14ac:dyDescent="0.25">
      <c r="A541" s="44"/>
      <c r="B541" s="151"/>
      <c r="C541" s="152"/>
      <c r="D541" s="153"/>
      <c r="E541" s="153"/>
      <c r="F541" s="154"/>
      <c r="G541" s="154"/>
      <c r="H541" s="154"/>
      <c r="I541" s="155"/>
      <c r="J541" s="154"/>
      <c r="K541" s="155"/>
      <c r="L541" s="155"/>
      <c r="M541" s="155"/>
      <c r="N541" s="155"/>
      <c r="O541" s="155"/>
      <c r="P541" s="155"/>
      <c r="Q541" s="646" t="s">
        <v>157</v>
      </c>
      <c r="R541" s="646"/>
      <c r="S541" s="646"/>
      <c r="T541" s="646"/>
      <c r="U541" s="647"/>
      <c r="V541" s="161">
        <f>+V538-V539</f>
        <v>0</v>
      </c>
      <c r="W541" s="161">
        <f>+W538-W539</f>
        <v>0</v>
      </c>
      <c r="X541" s="161">
        <f>+X538-X539</f>
        <v>11</v>
      </c>
      <c r="Y541" s="161">
        <f>+Y538-Y539</f>
        <v>17</v>
      </c>
      <c r="Z541" s="157"/>
      <c r="AA541" s="157"/>
      <c r="AB541" s="157"/>
      <c r="AC541" s="157"/>
      <c r="AD541" s="158"/>
      <c r="AE541" s="157"/>
      <c r="AF541" s="157"/>
      <c r="AG541" s="157"/>
      <c r="AH541" s="157"/>
      <c r="AI541" s="157"/>
      <c r="AJ541" s="157"/>
      <c r="AK541" s="157"/>
      <c r="AL541" s="157"/>
      <c r="AM541" s="157"/>
      <c r="AN541" s="157"/>
      <c r="AO541" s="157"/>
      <c r="AP541" s="157"/>
      <c r="AQ541" s="157"/>
      <c r="AR541" s="157"/>
      <c r="AS541" s="157"/>
      <c r="AT541" s="157"/>
      <c r="AU541" s="48"/>
      <c r="AV541" s="48"/>
      <c r="AW541" s="48"/>
      <c r="AX541" s="48"/>
      <c r="AY541" s="48"/>
      <c r="AZ541" s="48"/>
      <c r="BA541" s="48"/>
      <c r="BB541" s="48"/>
      <c r="BC541" s="48"/>
      <c r="BD541" s="48"/>
      <c r="BE541" s="48"/>
      <c r="BF541" s="49"/>
    </row>
    <row r="542" spans="1:181" ht="20.100000000000001" hidden="1" customHeight="1" x14ac:dyDescent="0.25">
      <c r="A542" s="44"/>
      <c r="B542" s="151"/>
      <c r="C542" s="152"/>
      <c r="D542" s="153"/>
      <c r="E542" s="153"/>
      <c r="F542" s="154"/>
      <c r="G542" s="154"/>
      <c r="H542" s="154"/>
      <c r="I542" s="155"/>
      <c r="J542" s="154"/>
      <c r="K542" s="155"/>
      <c r="L542" s="155"/>
      <c r="M542" s="155"/>
      <c r="N542" s="155"/>
      <c r="O542" s="155"/>
      <c r="P542" s="155"/>
      <c r="Q542" s="646" t="s">
        <v>158</v>
      </c>
      <c r="R542" s="646"/>
      <c r="S542" s="646"/>
      <c r="T542" s="646"/>
      <c r="U542" s="646"/>
      <c r="V542" s="156">
        <f>+V538</f>
        <v>7</v>
      </c>
      <c r="W542" s="156">
        <f>+W538</f>
        <v>10</v>
      </c>
      <c r="X542" s="156">
        <f>+X538</f>
        <v>11</v>
      </c>
      <c r="Y542" s="156">
        <f>+Y538</f>
        <v>17</v>
      </c>
      <c r="Z542" s="157"/>
      <c r="AA542" s="157"/>
      <c r="AB542" s="157"/>
      <c r="AC542" s="157"/>
      <c r="AD542" s="158"/>
      <c r="AE542" s="157"/>
      <c r="AF542" s="157"/>
      <c r="AG542" s="157"/>
      <c r="AH542" s="157"/>
      <c r="AI542" s="157"/>
      <c r="AJ542" s="157"/>
      <c r="AK542" s="157"/>
      <c r="AL542" s="157"/>
      <c r="AM542" s="157"/>
      <c r="AN542" s="157"/>
      <c r="AO542" s="157"/>
      <c r="AP542" s="157"/>
      <c r="AQ542" s="157"/>
      <c r="AR542" s="157"/>
      <c r="AS542" s="157"/>
      <c r="AT542" s="157"/>
      <c r="AU542" s="48"/>
      <c r="AV542" s="48"/>
      <c r="AW542" s="48"/>
      <c r="AX542" s="48"/>
      <c r="AY542" s="48"/>
      <c r="AZ542" s="48"/>
      <c r="BA542" s="48"/>
      <c r="BB542" s="48"/>
      <c r="BC542" s="48"/>
      <c r="BD542" s="48"/>
      <c r="BE542" s="48"/>
      <c r="BF542" s="49"/>
    </row>
    <row r="543" spans="1:181" ht="20.100000000000001" hidden="1" customHeight="1" x14ac:dyDescent="0.25">
      <c r="A543" s="44"/>
      <c r="B543" s="151"/>
      <c r="C543" s="152"/>
      <c r="D543" s="153"/>
      <c r="E543" s="153"/>
      <c r="F543" s="154"/>
      <c r="G543" s="154"/>
      <c r="H543" s="154"/>
      <c r="I543" s="155"/>
      <c r="J543" s="154"/>
      <c r="K543" s="155"/>
      <c r="L543" s="155"/>
      <c r="M543" s="155"/>
      <c r="N543" s="155"/>
      <c r="O543" s="155"/>
      <c r="P543" s="155"/>
      <c r="Q543" s="646" t="s">
        <v>159</v>
      </c>
      <c r="R543" s="646"/>
      <c r="S543" s="646"/>
      <c r="T543" s="646"/>
      <c r="U543" s="646"/>
      <c r="V543" s="161">
        <v>5</v>
      </c>
      <c r="W543" s="161">
        <v>9</v>
      </c>
      <c r="X543" s="161"/>
      <c r="Y543" s="161"/>
      <c r="Z543" s="157"/>
      <c r="AA543" s="157"/>
      <c r="AB543" s="157"/>
      <c r="AC543" s="157"/>
      <c r="AD543" s="158"/>
      <c r="AE543" s="157"/>
      <c r="AF543" s="157"/>
      <c r="AG543" s="157"/>
      <c r="AH543" s="157"/>
      <c r="AI543" s="157"/>
      <c r="AJ543" s="157"/>
      <c r="AK543" s="157"/>
      <c r="AL543" s="157"/>
      <c r="AM543" s="157"/>
      <c r="AN543" s="157"/>
      <c r="AO543" s="157"/>
      <c r="AP543" s="157"/>
      <c r="AQ543" s="157"/>
      <c r="AR543" s="157"/>
      <c r="AS543" s="157"/>
      <c r="AT543" s="157"/>
      <c r="AU543" s="48"/>
      <c r="AV543" s="48"/>
      <c r="AW543" s="48"/>
      <c r="AX543" s="48"/>
      <c r="AY543" s="48"/>
      <c r="AZ543" s="48"/>
      <c r="BA543" s="48"/>
      <c r="BB543" s="48"/>
      <c r="BC543" s="48"/>
      <c r="BD543" s="48"/>
      <c r="BE543" s="48"/>
      <c r="BF543" s="49"/>
    </row>
    <row r="544" spans="1:181" ht="15" hidden="1" customHeight="1" x14ac:dyDescent="0.25">
      <c r="A544" s="79"/>
      <c r="B544" s="80"/>
      <c r="C544" s="88"/>
      <c r="D544" s="82"/>
      <c r="E544" s="82"/>
      <c r="F544" s="46"/>
      <c r="G544" s="46"/>
      <c r="H544" s="46"/>
      <c r="I544" s="46"/>
      <c r="J544" s="83"/>
      <c r="K544" s="46"/>
      <c r="L544" s="46"/>
      <c r="M544" s="155"/>
      <c r="N544" s="155"/>
      <c r="O544" s="155"/>
      <c r="P544" s="46"/>
      <c r="Q544" s="46"/>
      <c r="R544" s="46"/>
      <c r="S544" s="46"/>
      <c r="T544" s="46"/>
      <c r="U544" s="46"/>
      <c r="V544" s="73"/>
      <c r="W544" s="73"/>
      <c r="X544" s="73"/>
      <c r="Y544" s="73"/>
      <c r="Z544" s="46"/>
      <c r="AA544" s="46"/>
      <c r="AB544" s="46"/>
      <c r="AC544" s="46"/>
      <c r="AD544" s="47"/>
      <c r="AE544" s="48"/>
      <c r="AF544" s="48"/>
      <c r="AG544" s="48"/>
      <c r="AH544" s="48"/>
      <c r="AI544" s="157"/>
      <c r="AJ544" s="157"/>
      <c r="AK544" s="157"/>
      <c r="AL544" s="157"/>
      <c r="AM544" s="157"/>
      <c r="AN544" s="157"/>
      <c r="AO544" s="157"/>
      <c r="AP544" s="157"/>
      <c r="AQ544" s="157"/>
      <c r="AR544" s="157"/>
      <c r="AS544" s="157"/>
      <c r="AT544" s="157"/>
      <c r="AU544" s="48"/>
      <c r="AV544" s="48"/>
      <c r="AW544" s="48"/>
      <c r="AX544" s="48"/>
      <c r="AY544" s="48"/>
      <c r="AZ544" s="48"/>
      <c r="BA544" s="48"/>
      <c r="BB544" s="48"/>
      <c r="BC544" s="48"/>
      <c r="BD544" s="48"/>
      <c r="BE544" s="48"/>
      <c r="BF544" s="49"/>
    </row>
    <row r="545" spans="1:58" ht="20.100000000000001" hidden="1" customHeight="1" x14ac:dyDescent="0.25">
      <c r="A545" s="79"/>
      <c r="B545" s="80"/>
      <c r="C545" s="85"/>
      <c r="D545" s="109" t="s">
        <v>103</v>
      </c>
      <c r="E545" s="82"/>
      <c r="F545" s="46"/>
      <c r="G545" s="46"/>
      <c r="H545" s="46"/>
      <c r="I545" s="46"/>
      <c r="J545" s="83"/>
      <c r="K545" s="46"/>
      <c r="L545" s="46"/>
      <c r="M545" s="46"/>
      <c r="N545" s="46"/>
      <c r="O545" s="46"/>
      <c r="P545" s="46"/>
      <c r="Q545" s="46"/>
      <c r="R545" s="46"/>
      <c r="S545" s="46"/>
      <c r="T545" s="46"/>
      <c r="U545" s="46"/>
      <c r="V545" s="42"/>
      <c r="W545" s="46"/>
      <c r="X545" s="46"/>
      <c r="Y545" s="46"/>
      <c r="Z545" s="46"/>
      <c r="AA545" s="46"/>
      <c r="AB545" s="46"/>
      <c r="AC545" s="46"/>
      <c r="AD545" s="47"/>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9"/>
    </row>
    <row r="546" spans="1:58" ht="20.100000000000001" customHeight="1" x14ac:dyDescent="0.25">
      <c r="A546" s="79"/>
      <c r="B546" s="80"/>
      <c r="C546" s="85"/>
      <c r="D546" s="745" t="s">
        <v>40</v>
      </c>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c r="AA546" s="745"/>
      <c r="AB546" s="745"/>
      <c r="AC546" s="745"/>
      <c r="AD546" s="745"/>
      <c r="AE546" s="745"/>
      <c r="AF546" s="745"/>
      <c r="AG546" s="745"/>
      <c r="AH546" s="745"/>
      <c r="AI546" s="745"/>
      <c r="AJ546" s="745"/>
      <c r="AK546" s="745"/>
      <c r="AL546" s="745"/>
      <c r="AM546" s="745"/>
      <c r="AN546" s="745"/>
      <c r="AO546" s="745"/>
      <c r="AP546" s="745"/>
      <c r="AQ546" s="745"/>
      <c r="AR546" s="745"/>
      <c r="AS546" s="745"/>
      <c r="AT546" s="561" t="s">
        <v>104</v>
      </c>
      <c r="AU546" s="563"/>
      <c r="AV546" s="563"/>
      <c r="AW546" s="563"/>
      <c r="AX546" s="563"/>
      <c r="AY546" s="563"/>
      <c r="AZ546" s="563"/>
      <c r="BA546" s="563"/>
      <c r="BB546" s="562"/>
      <c r="BC546" s="561" t="s">
        <v>105</v>
      </c>
      <c r="BD546" s="562"/>
      <c r="BE546" s="48"/>
      <c r="BF546" s="49"/>
    </row>
    <row r="547" spans="1:58" ht="15" customHeight="1" x14ac:dyDescent="0.25">
      <c r="A547" s="79"/>
      <c r="B547" s="80"/>
      <c r="C547" s="85"/>
      <c r="D547" s="691" t="s">
        <v>106</v>
      </c>
      <c r="E547" s="691" t="s">
        <v>107</v>
      </c>
      <c r="F547" s="711" t="s">
        <v>108</v>
      </c>
      <c r="G547" s="691" t="s">
        <v>109</v>
      </c>
      <c r="H547" s="711" t="s">
        <v>110</v>
      </c>
      <c r="I547" s="691" t="s">
        <v>51</v>
      </c>
      <c r="J547" s="712" t="s">
        <v>111</v>
      </c>
      <c r="K547" s="691" t="s">
        <v>52</v>
      </c>
      <c r="L547" s="691"/>
      <c r="M547" s="691"/>
      <c r="N547" s="691" t="s">
        <v>53</v>
      </c>
      <c r="O547" s="691" t="s">
        <v>54</v>
      </c>
      <c r="P547" s="703" t="s">
        <v>55</v>
      </c>
      <c r="Q547" s="703" t="s">
        <v>56</v>
      </c>
      <c r="R547" s="703" t="s">
        <v>57</v>
      </c>
      <c r="S547" s="703" t="s">
        <v>58</v>
      </c>
      <c r="T547" s="703" t="s">
        <v>59</v>
      </c>
      <c r="U547" s="691" t="s">
        <v>60</v>
      </c>
      <c r="V547" s="691"/>
      <c r="W547" s="691"/>
      <c r="X547" s="691"/>
      <c r="Y547" s="691"/>
      <c r="Z547" s="704" t="s">
        <v>61</v>
      </c>
      <c r="AA547" s="705"/>
      <c r="AB547" s="705"/>
      <c r="AC547" s="706"/>
      <c r="AD547" s="707" t="s">
        <v>62</v>
      </c>
      <c r="AE547" s="708"/>
      <c r="AF547" s="709"/>
      <c r="AG547" s="695" t="s">
        <v>63</v>
      </c>
      <c r="AH547" s="695" t="s">
        <v>64</v>
      </c>
      <c r="AI547" s="695" t="s">
        <v>65</v>
      </c>
      <c r="AJ547" s="697" t="s">
        <v>66</v>
      </c>
      <c r="AK547" s="697"/>
      <c r="AL547" s="697"/>
      <c r="AM547" s="697"/>
      <c r="AN547" s="699"/>
      <c r="AO547" s="699"/>
      <c r="AP547" s="699"/>
      <c r="AQ547" s="699"/>
      <c r="AR547" s="699"/>
      <c r="AS547" s="700"/>
      <c r="AT547" s="558" t="s">
        <v>60</v>
      </c>
      <c r="AU547" s="569" t="s">
        <v>112</v>
      </c>
      <c r="AV547" s="570"/>
      <c r="AW547" s="570"/>
      <c r="AX547" s="571"/>
      <c r="AY547" s="569" t="s">
        <v>113</v>
      </c>
      <c r="AZ547" s="570"/>
      <c r="BA547" s="570"/>
      <c r="BB547" s="571"/>
      <c r="BC547" s="584" t="s">
        <v>114</v>
      </c>
      <c r="BD547" s="587" t="s">
        <v>102</v>
      </c>
      <c r="BE547" s="48"/>
      <c r="BF547" s="49"/>
    </row>
    <row r="548" spans="1:58" ht="15" customHeight="1" x14ac:dyDescent="0.25">
      <c r="A548" s="79"/>
      <c r="B548" s="80"/>
      <c r="C548" s="85"/>
      <c r="D548" s="691"/>
      <c r="E548" s="691"/>
      <c r="F548" s="711"/>
      <c r="G548" s="691"/>
      <c r="H548" s="711"/>
      <c r="I548" s="691"/>
      <c r="J548" s="712"/>
      <c r="K548" s="691"/>
      <c r="L548" s="691"/>
      <c r="M548" s="691"/>
      <c r="N548" s="691"/>
      <c r="O548" s="691"/>
      <c r="P548" s="703"/>
      <c r="Q548" s="703"/>
      <c r="R548" s="703"/>
      <c r="S548" s="703"/>
      <c r="T548" s="703"/>
      <c r="U548" s="691" t="s">
        <v>67</v>
      </c>
      <c r="V548" s="691"/>
      <c r="W548" s="691"/>
      <c r="X548" s="691"/>
      <c r="Y548" s="691"/>
      <c r="Z548" s="692" t="s">
        <v>67</v>
      </c>
      <c r="AA548" s="693"/>
      <c r="AB548" s="693"/>
      <c r="AC548" s="694"/>
      <c r="AD548" s="695" t="s">
        <v>68</v>
      </c>
      <c r="AE548" s="695" t="s">
        <v>69</v>
      </c>
      <c r="AF548" s="695" t="s">
        <v>70</v>
      </c>
      <c r="AG548" s="696"/>
      <c r="AH548" s="696"/>
      <c r="AI548" s="696"/>
      <c r="AJ548" s="698"/>
      <c r="AK548" s="698"/>
      <c r="AL548" s="698"/>
      <c r="AM548" s="698"/>
      <c r="AN548" s="701"/>
      <c r="AO548" s="701"/>
      <c r="AP548" s="701"/>
      <c r="AQ548" s="701"/>
      <c r="AR548" s="701"/>
      <c r="AS548" s="702"/>
      <c r="AT548" s="559"/>
      <c r="AU548" s="572"/>
      <c r="AV548" s="573"/>
      <c r="AW548" s="573"/>
      <c r="AX548" s="574"/>
      <c r="AY548" s="572"/>
      <c r="AZ548" s="573"/>
      <c r="BA548" s="573"/>
      <c r="BB548" s="574"/>
      <c r="BC548" s="585"/>
      <c r="BD548" s="588"/>
      <c r="BE548" s="48"/>
      <c r="BF548" s="49"/>
    </row>
    <row r="549" spans="1:58" s="95" customFormat="1" ht="24" customHeight="1" thickBot="1" x14ac:dyDescent="0.3">
      <c r="A549" s="86"/>
      <c r="B549" s="87"/>
      <c r="C549" s="88"/>
      <c r="D549" s="691"/>
      <c r="E549" s="691"/>
      <c r="F549" s="711"/>
      <c r="G549" s="691"/>
      <c r="H549" s="711"/>
      <c r="I549" s="691"/>
      <c r="J549" s="712"/>
      <c r="K549" s="89" t="s">
        <v>71</v>
      </c>
      <c r="L549" s="89" t="s">
        <v>115</v>
      </c>
      <c r="M549" s="89" t="s">
        <v>72</v>
      </c>
      <c r="N549" s="691"/>
      <c r="O549" s="691"/>
      <c r="P549" s="703"/>
      <c r="Q549" s="703"/>
      <c r="R549" s="703"/>
      <c r="S549" s="703"/>
      <c r="T549" s="703"/>
      <c r="U549" s="90" t="s">
        <v>73</v>
      </c>
      <c r="V549" s="89">
        <v>1</v>
      </c>
      <c r="W549" s="91">
        <v>2</v>
      </c>
      <c r="X549" s="91">
        <v>3</v>
      </c>
      <c r="Y549" s="91">
        <v>4</v>
      </c>
      <c r="Z549" s="162">
        <v>1</v>
      </c>
      <c r="AA549" s="110">
        <v>2</v>
      </c>
      <c r="AB549" s="110">
        <v>3</v>
      </c>
      <c r="AC549" s="110">
        <v>4</v>
      </c>
      <c r="AD549" s="696"/>
      <c r="AE549" s="696"/>
      <c r="AF549" s="696"/>
      <c r="AG549" s="696"/>
      <c r="AH549" s="696"/>
      <c r="AI549" s="697"/>
      <c r="AJ549" s="342" t="s">
        <v>74</v>
      </c>
      <c r="AK549" s="343" t="s">
        <v>75</v>
      </c>
      <c r="AL549" s="343" t="s">
        <v>76</v>
      </c>
      <c r="AM549" s="343" t="s">
        <v>77</v>
      </c>
      <c r="AN549" s="92" t="s">
        <v>78</v>
      </c>
      <c r="AO549" s="92" t="s">
        <v>79</v>
      </c>
      <c r="AP549" s="92" t="s">
        <v>80</v>
      </c>
      <c r="AQ549" s="92" t="s">
        <v>81</v>
      </c>
      <c r="AR549" s="93" t="s">
        <v>82</v>
      </c>
      <c r="AS549" s="93" t="s">
        <v>83</v>
      </c>
      <c r="AT549" s="560"/>
      <c r="AU549" s="111" t="s">
        <v>116</v>
      </c>
      <c r="AV549" s="111" t="s">
        <v>117</v>
      </c>
      <c r="AW549" s="111" t="s">
        <v>118</v>
      </c>
      <c r="AX549" s="111" t="s">
        <v>119</v>
      </c>
      <c r="AY549" s="111" t="s">
        <v>116</v>
      </c>
      <c r="AZ549" s="111" t="s">
        <v>117</v>
      </c>
      <c r="BA549" s="111" t="s">
        <v>118</v>
      </c>
      <c r="BB549" s="111" t="s">
        <v>119</v>
      </c>
      <c r="BC549" s="586"/>
      <c r="BD549" s="589"/>
      <c r="BE549" s="48"/>
      <c r="BF549" s="49"/>
    </row>
    <row r="550" spans="1:58" s="120" customFormat="1" ht="35.1" customHeight="1" x14ac:dyDescent="0.25">
      <c r="A550" s="675"/>
      <c r="B550" s="664"/>
      <c r="C550" s="665">
        <v>1</v>
      </c>
      <c r="D550" s="816" t="s">
        <v>40</v>
      </c>
      <c r="E550" s="688" t="s">
        <v>327</v>
      </c>
      <c r="F550" s="758">
        <v>0.3</v>
      </c>
      <c r="G550" s="814" t="s">
        <v>866</v>
      </c>
      <c r="H550" s="809">
        <v>0.2</v>
      </c>
      <c r="I550" s="804" t="s">
        <v>867</v>
      </c>
      <c r="J550" s="719">
        <v>1</v>
      </c>
      <c r="K550" s="804" t="s">
        <v>868</v>
      </c>
      <c r="L550" s="804" t="s">
        <v>869</v>
      </c>
      <c r="M550" s="722" t="str">
        <f>CONCATENATE(U550,$U$29,U551)</f>
        <v>No de procesos con por lo menos una actuación durante el periodo No proceso radicados antes del 31 de diciembre del 2017 programados (145)</v>
      </c>
      <c r="N550" s="722" t="s">
        <v>870</v>
      </c>
      <c r="O550" s="722" t="s">
        <v>871</v>
      </c>
      <c r="P550" s="719">
        <v>0.2</v>
      </c>
      <c r="Q550" s="719">
        <v>1</v>
      </c>
      <c r="R550" s="719">
        <v>1</v>
      </c>
      <c r="S550" s="719">
        <v>1</v>
      </c>
      <c r="T550" s="808" t="s">
        <v>151</v>
      </c>
      <c r="U550" s="164" t="s">
        <v>872</v>
      </c>
      <c r="V550" s="164"/>
      <c r="W550" s="164"/>
      <c r="X550" s="164"/>
      <c r="Y550" s="164"/>
      <c r="Z550" s="406"/>
      <c r="AA550" s="406"/>
      <c r="AB550" s="406"/>
      <c r="AC550" s="406"/>
      <c r="AD550" s="812">
        <f>+AE550+AF550+AG550</f>
        <v>106680000</v>
      </c>
      <c r="AE550" s="813">
        <v>106680000</v>
      </c>
      <c r="AF550" s="813">
        <v>0</v>
      </c>
      <c r="AG550" s="813">
        <v>0</v>
      </c>
      <c r="AH550" s="805" t="s">
        <v>873</v>
      </c>
      <c r="AI550" s="805" t="s">
        <v>874</v>
      </c>
      <c r="AJ550" s="805" t="s">
        <v>94</v>
      </c>
      <c r="AK550" s="805"/>
      <c r="AL550" s="805"/>
      <c r="AM550" s="805"/>
      <c r="AN550" s="333"/>
      <c r="AO550" s="333"/>
      <c r="AP550" s="805" t="s">
        <v>94</v>
      </c>
      <c r="AQ550" s="805" t="s">
        <v>94</v>
      </c>
      <c r="AR550" s="805"/>
      <c r="AS550" s="805"/>
      <c r="AT550" s="190" t="s">
        <v>129</v>
      </c>
      <c r="AU550" s="203">
        <f t="shared" ref="AU550:BB550" si="440">+V552*$J$550</f>
        <v>0</v>
      </c>
      <c r="AV550" s="203">
        <f t="shared" si="440"/>
        <v>0</v>
      </c>
      <c r="AW550" s="203">
        <f t="shared" si="440"/>
        <v>0</v>
      </c>
      <c r="AX550" s="203">
        <f t="shared" si="440"/>
        <v>0</v>
      </c>
      <c r="AY550" s="203">
        <f t="shared" si="440"/>
        <v>0</v>
      </c>
      <c r="AZ550" s="203">
        <f t="shared" si="440"/>
        <v>0</v>
      </c>
      <c r="BA550" s="203">
        <f t="shared" si="440"/>
        <v>0</v>
      </c>
      <c r="BB550" s="203">
        <f t="shared" si="440"/>
        <v>0</v>
      </c>
      <c r="BC550" s="578">
        <f>+BB552+BB573</f>
        <v>0</v>
      </c>
      <c r="BD550" s="608">
        <f>+BC550</f>
        <v>0</v>
      </c>
      <c r="BE550" s="117"/>
      <c r="BF550" s="118"/>
    </row>
    <row r="551" spans="1:58" s="120" customFormat="1" ht="35.1" customHeight="1" thickBot="1" x14ac:dyDescent="0.3">
      <c r="A551" s="675"/>
      <c r="B551" s="664"/>
      <c r="C551" s="665"/>
      <c r="D551" s="817"/>
      <c r="E551" s="689"/>
      <c r="F551" s="759"/>
      <c r="G551" s="815"/>
      <c r="H551" s="810"/>
      <c r="I551" s="804"/>
      <c r="J551" s="719"/>
      <c r="K551" s="804"/>
      <c r="L551" s="804"/>
      <c r="M551" s="723"/>
      <c r="N551" s="723"/>
      <c r="O551" s="723"/>
      <c r="P551" s="719"/>
      <c r="Q551" s="719"/>
      <c r="R551" s="719"/>
      <c r="S551" s="719"/>
      <c r="T551" s="808"/>
      <c r="U551" s="176" t="s">
        <v>875</v>
      </c>
      <c r="V551" s="220">
        <v>32</v>
      </c>
      <c r="W551" s="220">
        <v>38</v>
      </c>
      <c r="X551" s="220">
        <v>39</v>
      </c>
      <c r="Y551" s="220">
        <v>36</v>
      </c>
      <c r="Z551" s="220">
        <f>+V551</f>
        <v>32</v>
      </c>
      <c r="AA551" s="220">
        <f>+V551+W551</f>
        <v>70</v>
      </c>
      <c r="AB551" s="220">
        <f>+V551+W551+X551</f>
        <v>109</v>
      </c>
      <c r="AC551" s="220">
        <f>+V551+W551+X551+Y551</f>
        <v>145</v>
      </c>
      <c r="AD551" s="812"/>
      <c r="AE551" s="813"/>
      <c r="AF551" s="813"/>
      <c r="AG551" s="813"/>
      <c r="AH551" s="806"/>
      <c r="AI551" s="806"/>
      <c r="AJ551" s="806"/>
      <c r="AK551" s="806"/>
      <c r="AL551" s="806"/>
      <c r="AM551" s="806"/>
      <c r="AN551" s="335"/>
      <c r="AO551" s="335"/>
      <c r="AP551" s="806"/>
      <c r="AQ551" s="806" t="s">
        <v>94</v>
      </c>
      <c r="AR551" s="806"/>
      <c r="AS551" s="806"/>
      <c r="AT551" s="190" t="s">
        <v>131</v>
      </c>
      <c r="AU551" s="203">
        <f>+((AU550*$H$550)+(AU553*$H$553)+(AU556*$H$556)+((AU559+AU562)*$H$559)+(AU565*$H$565)+(AU568*$H$568))</f>
        <v>0</v>
      </c>
      <c r="AV551" s="203">
        <f t="shared" ref="AV551:BB551" si="441">+((AV550*$H$550)+(AV553*$H$553)+(AV556*$H$556)+((AV559+AV562)*$H$559)+(AV565*$H$565)+(AV568*$H$568))</f>
        <v>0</v>
      </c>
      <c r="AW551" s="203">
        <f t="shared" si="441"/>
        <v>0</v>
      </c>
      <c r="AX551" s="203">
        <f t="shared" si="441"/>
        <v>0</v>
      </c>
      <c r="AY551" s="203">
        <f t="shared" si="441"/>
        <v>0</v>
      </c>
      <c r="AZ551" s="203">
        <f t="shared" si="441"/>
        <v>0</v>
      </c>
      <c r="BA551" s="203">
        <f t="shared" si="441"/>
        <v>0</v>
      </c>
      <c r="BB551" s="203">
        <f t="shared" si="441"/>
        <v>0</v>
      </c>
      <c r="BC551" s="579"/>
      <c r="BD551" s="609"/>
      <c r="BE551" s="117"/>
      <c r="BF551" s="118"/>
    </row>
    <row r="552" spans="1:58" s="120" customFormat="1" ht="24.95" customHeight="1" thickBot="1" x14ac:dyDescent="0.3">
      <c r="A552" s="675"/>
      <c r="B552" s="664"/>
      <c r="C552" s="665"/>
      <c r="D552" s="817"/>
      <c r="E552" s="689"/>
      <c r="F552" s="759"/>
      <c r="G552" s="815"/>
      <c r="H552" s="811"/>
      <c r="I552" s="804"/>
      <c r="J552" s="719"/>
      <c r="K552" s="804"/>
      <c r="L552" s="804"/>
      <c r="M552" s="724"/>
      <c r="N552" s="724"/>
      <c r="O552" s="724"/>
      <c r="P552" s="719"/>
      <c r="Q552" s="719"/>
      <c r="R552" s="719"/>
      <c r="S552" s="719"/>
      <c r="T552" s="808"/>
      <c r="U552" s="172" t="s">
        <v>96</v>
      </c>
      <c r="V552" s="123">
        <f t="shared" ref="V552:AC552" si="442">IF((V550/V551)&lt;$I$8,(V550/V551),IF((V550/V551)&lt;$J$8,(V550/V551),IF((V550/V551)&lt;$J$9,(V550/V551),IF((V550/V551)&gt;=$J$9,$J$9))))</f>
        <v>0</v>
      </c>
      <c r="W552" s="123">
        <f t="shared" si="442"/>
        <v>0</v>
      </c>
      <c r="X552" s="123">
        <f t="shared" si="442"/>
        <v>0</v>
      </c>
      <c r="Y552" s="123">
        <f t="shared" si="442"/>
        <v>0</v>
      </c>
      <c r="Z552" s="123">
        <f t="shared" si="442"/>
        <v>0</v>
      </c>
      <c r="AA552" s="123">
        <f t="shared" si="442"/>
        <v>0</v>
      </c>
      <c r="AB552" s="123">
        <f t="shared" si="442"/>
        <v>0</v>
      </c>
      <c r="AC552" s="123">
        <f t="shared" si="442"/>
        <v>0</v>
      </c>
      <c r="AD552" s="812"/>
      <c r="AE552" s="813"/>
      <c r="AF552" s="813"/>
      <c r="AG552" s="813"/>
      <c r="AH552" s="807"/>
      <c r="AI552" s="807"/>
      <c r="AJ552" s="807"/>
      <c r="AK552" s="807"/>
      <c r="AL552" s="807"/>
      <c r="AM552" s="807"/>
      <c r="AN552" s="336"/>
      <c r="AO552" s="336"/>
      <c r="AP552" s="807"/>
      <c r="AQ552" s="807" t="s">
        <v>94</v>
      </c>
      <c r="AR552" s="807"/>
      <c r="AS552" s="807"/>
      <c r="AT552" s="190" t="s">
        <v>132</v>
      </c>
      <c r="AU552" s="203">
        <f>+AU551*$F550</f>
        <v>0</v>
      </c>
      <c r="AV552" s="203">
        <f t="shared" ref="AV552:BB552" si="443">+AV551*$F550</f>
        <v>0</v>
      </c>
      <c r="AW552" s="203">
        <f t="shared" si="443"/>
        <v>0</v>
      </c>
      <c r="AX552" s="203">
        <f t="shared" si="443"/>
        <v>0</v>
      </c>
      <c r="AY552" s="203">
        <f t="shared" si="443"/>
        <v>0</v>
      </c>
      <c r="AZ552" s="203">
        <f t="shared" si="443"/>
        <v>0</v>
      </c>
      <c r="BA552" s="203">
        <f t="shared" si="443"/>
        <v>0</v>
      </c>
      <c r="BB552" s="127">
        <f t="shared" si="443"/>
        <v>0</v>
      </c>
      <c r="BC552" s="579"/>
      <c r="BD552" s="609"/>
      <c r="BE552" s="117"/>
      <c r="BF552" s="118"/>
    </row>
    <row r="553" spans="1:58" s="120" customFormat="1" ht="35.1" customHeight="1" x14ac:dyDescent="0.25">
      <c r="A553" s="675"/>
      <c r="B553" s="664"/>
      <c r="C553" s="665">
        <v>2</v>
      </c>
      <c r="D553" s="817"/>
      <c r="E553" s="689"/>
      <c r="F553" s="759"/>
      <c r="G553" s="815"/>
      <c r="H553" s="809">
        <v>0.2</v>
      </c>
      <c r="I553" s="804" t="s">
        <v>876</v>
      </c>
      <c r="J553" s="758">
        <v>1</v>
      </c>
      <c r="K553" s="804" t="s">
        <v>877</v>
      </c>
      <c r="L553" s="804" t="s">
        <v>878</v>
      </c>
      <c r="M553" s="722" t="str">
        <f>CONCATENATE(U553,$U$29,U554)</f>
        <v>No de procesos con por lo menos una actuación durante el periodoTotal de procesos recibidos durante el periodo</v>
      </c>
      <c r="N553" s="722" t="s">
        <v>870</v>
      </c>
      <c r="O553" s="722" t="s">
        <v>879</v>
      </c>
      <c r="P553" s="719">
        <v>0.2</v>
      </c>
      <c r="Q553" s="719">
        <v>1</v>
      </c>
      <c r="R553" s="719">
        <v>1</v>
      </c>
      <c r="S553" s="719">
        <v>1</v>
      </c>
      <c r="T553" s="808" t="s">
        <v>151</v>
      </c>
      <c r="U553" s="164" t="s">
        <v>880</v>
      </c>
      <c r="V553" s="381"/>
      <c r="W553" s="164"/>
      <c r="X553" s="164"/>
      <c r="Y553" s="164"/>
      <c r="Z553" s="381"/>
      <c r="AA553" s="381"/>
      <c r="AB553" s="381"/>
      <c r="AC553" s="381"/>
      <c r="AD553" s="812"/>
      <c r="AE553" s="813"/>
      <c r="AF553" s="813"/>
      <c r="AG553" s="813"/>
      <c r="AH553" s="805" t="s">
        <v>873</v>
      </c>
      <c r="AI553" s="805" t="s">
        <v>874</v>
      </c>
      <c r="AJ553" s="805" t="s">
        <v>94</v>
      </c>
      <c r="AK553" s="805"/>
      <c r="AL553" s="805"/>
      <c r="AM553" s="805"/>
      <c r="AN553" s="333"/>
      <c r="AO553" s="333"/>
      <c r="AP553" s="805" t="s">
        <v>94</v>
      </c>
      <c r="AQ553" s="805" t="s">
        <v>94</v>
      </c>
      <c r="AR553" s="805"/>
      <c r="AS553" s="805"/>
      <c r="AT553" s="190" t="s">
        <v>129</v>
      </c>
      <c r="AU553" s="195">
        <f t="shared" ref="AU553:BB553" si="444">+V555*$J$553</f>
        <v>0</v>
      </c>
      <c r="AV553" s="203">
        <f t="shared" si="444"/>
        <v>0</v>
      </c>
      <c r="AW553" s="203">
        <f t="shared" si="444"/>
        <v>0</v>
      </c>
      <c r="AX553" s="203">
        <f t="shared" si="444"/>
        <v>0</v>
      </c>
      <c r="AY553" s="195">
        <f t="shared" si="444"/>
        <v>0</v>
      </c>
      <c r="AZ553" s="203">
        <f t="shared" si="444"/>
        <v>0</v>
      </c>
      <c r="BA553" s="203">
        <f t="shared" si="444"/>
        <v>0</v>
      </c>
      <c r="BB553" s="267">
        <f t="shared" si="444"/>
        <v>0</v>
      </c>
      <c r="BC553" s="579"/>
      <c r="BD553" s="609"/>
      <c r="BE553" s="117"/>
      <c r="BF553" s="118"/>
    </row>
    <row r="554" spans="1:58" s="120" customFormat="1" ht="35.1" customHeight="1" x14ac:dyDescent="0.25">
      <c r="A554" s="675"/>
      <c r="B554" s="664"/>
      <c r="C554" s="665"/>
      <c r="D554" s="817"/>
      <c r="E554" s="689"/>
      <c r="F554" s="759"/>
      <c r="G554" s="815"/>
      <c r="H554" s="810"/>
      <c r="I554" s="804"/>
      <c r="J554" s="759"/>
      <c r="K554" s="804"/>
      <c r="L554" s="804"/>
      <c r="M554" s="723"/>
      <c r="N554" s="723"/>
      <c r="O554" s="723"/>
      <c r="P554" s="719"/>
      <c r="Q554" s="719"/>
      <c r="R554" s="719"/>
      <c r="S554" s="719"/>
      <c r="T554" s="808"/>
      <c r="U554" s="176" t="s">
        <v>881</v>
      </c>
      <c r="V554" s="220">
        <v>27</v>
      </c>
      <c r="W554" s="220">
        <v>19</v>
      </c>
      <c r="X554" s="220">
        <v>0.01</v>
      </c>
      <c r="Y554" s="220">
        <v>0.01</v>
      </c>
      <c r="Z554" s="220">
        <f>+V554</f>
        <v>27</v>
      </c>
      <c r="AA554" s="220">
        <f>+V554+W554</f>
        <v>46</v>
      </c>
      <c r="AB554" s="220">
        <f>+V554+W554+X554</f>
        <v>46.01</v>
      </c>
      <c r="AC554" s="220">
        <f>+V554+W554+X554+Y554</f>
        <v>46.019999999999996</v>
      </c>
      <c r="AD554" s="812"/>
      <c r="AE554" s="813"/>
      <c r="AF554" s="813"/>
      <c r="AG554" s="813"/>
      <c r="AH554" s="806"/>
      <c r="AI554" s="806"/>
      <c r="AJ554" s="806"/>
      <c r="AK554" s="806"/>
      <c r="AL554" s="806"/>
      <c r="AM554" s="806"/>
      <c r="AN554" s="335"/>
      <c r="AO554" s="335"/>
      <c r="AP554" s="806"/>
      <c r="AQ554" s="806" t="s">
        <v>94</v>
      </c>
      <c r="AR554" s="806"/>
      <c r="AS554" s="806"/>
      <c r="AT554" s="190" t="s">
        <v>131</v>
      </c>
      <c r="AU554" s="575"/>
      <c r="AV554" s="576"/>
      <c r="AW554" s="576"/>
      <c r="AX554" s="576"/>
      <c r="AY554" s="576"/>
      <c r="AZ554" s="576"/>
      <c r="BA554" s="576"/>
      <c r="BB554" s="577"/>
      <c r="BC554" s="579"/>
      <c r="BD554" s="609"/>
      <c r="BE554" s="117"/>
      <c r="BF554" s="118"/>
    </row>
    <row r="555" spans="1:58" s="120" customFormat="1" ht="24.95" customHeight="1" x14ac:dyDescent="0.25">
      <c r="A555" s="675"/>
      <c r="B555" s="664"/>
      <c r="C555" s="665"/>
      <c r="D555" s="817"/>
      <c r="E555" s="689"/>
      <c r="F555" s="759"/>
      <c r="G555" s="815"/>
      <c r="H555" s="811"/>
      <c r="I555" s="804"/>
      <c r="J555" s="760"/>
      <c r="K555" s="804"/>
      <c r="L555" s="804"/>
      <c r="M555" s="724"/>
      <c r="N555" s="724"/>
      <c r="O555" s="724"/>
      <c r="P555" s="719"/>
      <c r="Q555" s="719"/>
      <c r="R555" s="719"/>
      <c r="S555" s="719"/>
      <c r="T555" s="808"/>
      <c r="U555" s="172" t="s">
        <v>96</v>
      </c>
      <c r="V555" s="195">
        <f t="shared" ref="V555:AC555" si="445">IF((V553/V554)&lt;$I$8,(V553/V554),IF((V553/V554)&lt;$J$8,(V553/V554),IF((V553/V554)&lt;$J$9,(V553/V554),IF((V553/V554)&gt;=$J$9,$J$9))))</f>
        <v>0</v>
      </c>
      <c r="W555" s="123">
        <f t="shared" si="445"/>
        <v>0</v>
      </c>
      <c r="X555" s="123">
        <f t="shared" si="445"/>
        <v>0</v>
      </c>
      <c r="Y555" s="123">
        <f t="shared" si="445"/>
        <v>0</v>
      </c>
      <c r="Z555" s="195">
        <f t="shared" si="445"/>
        <v>0</v>
      </c>
      <c r="AA555" s="123">
        <f t="shared" si="445"/>
        <v>0</v>
      </c>
      <c r="AB555" s="123">
        <f t="shared" si="445"/>
        <v>0</v>
      </c>
      <c r="AC555" s="123">
        <f t="shared" si="445"/>
        <v>0</v>
      </c>
      <c r="AD555" s="812"/>
      <c r="AE555" s="813"/>
      <c r="AF555" s="813"/>
      <c r="AG555" s="813"/>
      <c r="AH555" s="807"/>
      <c r="AI555" s="807"/>
      <c r="AJ555" s="807"/>
      <c r="AK555" s="807"/>
      <c r="AL555" s="807"/>
      <c r="AM555" s="807"/>
      <c r="AN555" s="336"/>
      <c r="AO555" s="336"/>
      <c r="AP555" s="807"/>
      <c r="AQ555" s="807"/>
      <c r="AR555" s="807"/>
      <c r="AS555" s="807"/>
      <c r="AT555" s="190" t="s">
        <v>132</v>
      </c>
      <c r="AU555" s="575"/>
      <c r="AV555" s="576"/>
      <c r="AW555" s="576"/>
      <c r="AX555" s="576"/>
      <c r="AY555" s="576"/>
      <c r="AZ555" s="576"/>
      <c r="BA555" s="576"/>
      <c r="BB555" s="577"/>
      <c r="BC555" s="579"/>
      <c r="BD555" s="609"/>
      <c r="BE555" s="117"/>
      <c r="BF555" s="118"/>
    </row>
    <row r="556" spans="1:58" s="120" customFormat="1" ht="35.1" customHeight="1" x14ac:dyDescent="0.25">
      <c r="A556" s="675"/>
      <c r="B556" s="664"/>
      <c r="C556" s="665">
        <v>3</v>
      </c>
      <c r="D556" s="817"/>
      <c r="E556" s="689"/>
      <c r="F556" s="759"/>
      <c r="G556" s="815"/>
      <c r="H556" s="809">
        <v>0.2</v>
      </c>
      <c r="I556" s="804" t="s">
        <v>882</v>
      </c>
      <c r="J556" s="719">
        <v>1</v>
      </c>
      <c r="K556" s="804" t="s">
        <v>883</v>
      </c>
      <c r="L556" s="804" t="s">
        <v>884</v>
      </c>
      <c r="M556" s="722" t="str">
        <f>CONCATENATE(U556,$Q$29,U557)</f>
        <v>No de procesos finalizados en el periodoNo de procesos radicados antes del 31 diciembre del 2015 programados</v>
      </c>
      <c r="N556" s="722" t="s">
        <v>885</v>
      </c>
      <c r="O556" s="722" t="s">
        <v>886</v>
      </c>
      <c r="P556" s="719">
        <v>0.2</v>
      </c>
      <c r="Q556" s="719">
        <v>1</v>
      </c>
      <c r="R556" s="719">
        <v>1</v>
      </c>
      <c r="S556" s="719">
        <v>0.5</v>
      </c>
      <c r="T556" s="808" t="s">
        <v>151</v>
      </c>
      <c r="U556" s="164" t="s">
        <v>887</v>
      </c>
      <c r="V556" s="164"/>
      <c r="W556" s="164"/>
      <c r="X556" s="164"/>
      <c r="Y556" s="164"/>
      <c r="Z556" s="406"/>
      <c r="AA556" s="407"/>
      <c r="AB556" s="407"/>
      <c r="AC556" s="407"/>
      <c r="AD556" s="812"/>
      <c r="AE556" s="813"/>
      <c r="AF556" s="813"/>
      <c r="AG556" s="813"/>
      <c r="AH556" s="716" t="s">
        <v>873</v>
      </c>
      <c r="AI556" s="716" t="s">
        <v>874</v>
      </c>
      <c r="AJ556" s="805" t="s">
        <v>94</v>
      </c>
      <c r="AK556" s="805"/>
      <c r="AL556" s="805"/>
      <c r="AM556" s="805"/>
      <c r="AN556" s="333"/>
      <c r="AO556" s="333"/>
      <c r="AP556" s="805" t="s">
        <v>94</v>
      </c>
      <c r="AQ556" s="805" t="s">
        <v>94</v>
      </c>
      <c r="AR556" s="805"/>
      <c r="AS556" s="805"/>
      <c r="AT556" s="190" t="s">
        <v>129</v>
      </c>
      <c r="AU556" s="195">
        <f t="shared" ref="AU556:BB556" si="446">+V558*$J$556</f>
        <v>0</v>
      </c>
      <c r="AV556" s="203">
        <f t="shared" si="446"/>
        <v>0</v>
      </c>
      <c r="AW556" s="203">
        <f t="shared" si="446"/>
        <v>0</v>
      </c>
      <c r="AX556" s="203">
        <f t="shared" si="446"/>
        <v>0</v>
      </c>
      <c r="AY556" s="195">
        <f t="shared" si="446"/>
        <v>0</v>
      </c>
      <c r="AZ556" s="203">
        <f t="shared" si="446"/>
        <v>0</v>
      </c>
      <c r="BA556" s="203">
        <f t="shared" si="446"/>
        <v>0</v>
      </c>
      <c r="BB556" s="203">
        <f t="shared" si="446"/>
        <v>0</v>
      </c>
      <c r="BC556" s="579"/>
      <c r="BD556" s="609"/>
      <c r="BE556" s="117"/>
      <c r="BF556" s="118"/>
    </row>
    <row r="557" spans="1:58" s="120" customFormat="1" ht="35.1" customHeight="1" x14ac:dyDescent="0.25">
      <c r="A557" s="675"/>
      <c r="B557" s="664"/>
      <c r="C557" s="665"/>
      <c r="D557" s="817"/>
      <c r="E557" s="689"/>
      <c r="F557" s="759"/>
      <c r="G557" s="815"/>
      <c r="H557" s="810"/>
      <c r="I557" s="804"/>
      <c r="J557" s="719"/>
      <c r="K557" s="804"/>
      <c r="L557" s="804"/>
      <c r="M557" s="723"/>
      <c r="N557" s="723"/>
      <c r="O557" s="723"/>
      <c r="P557" s="719"/>
      <c r="Q557" s="719"/>
      <c r="R557" s="719"/>
      <c r="S557" s="719"/>
      <c r="T557" s="808"/>
      <c r="U557" s="176" t="s">
        <v>888</v>
      </c>
      <c r="V557" s="220">
        <v>0.01</v>
      </c>
      <c r="W557" s="170">
        <v>10</v>
      </c>
      <c r="X557" s="220">
        <v>11</v>
      </c>
      <c r="Y557" s="170">
        <v>10</v>
      </c>
      <c r="Z557" s="220">
        <f>+V557</f>
        <v>0.01</v>
      </c>
      <c r="AA557" s="220">
        <f>+V557+W557</f>
        <v>10.01</v>
      </c>
      <c r="AB557" s="220">
        <f>+V557+W557+X557</f>
        <v>21.009999999999998</v>
      </c>
      <c r="AC557" s="220">
        <f>+V557+W557+X557+Y557</f>
        <v>31.009999999999998</v>
      </c>
      <c r="AD557" s="812"/>
      <c r="AE557" s="813"/>
      <c r="AF557" s="813"/>
      <c r="AG557" s="813"/>
      <c r="AH557" s="717"/>
      <c r="AI557" s="717"/>
      <c r="AJ557" s="806"/>
      <c r="AK557" s="806"/>
      <c r="AL557" s="806"/>
      <c r="AM557" s="806"/>
      <c r="AN557" s="335"/>
      <c r="AO557" s="335"/>
      <c r="AP557" s="806"/>
      <c r="AQ557" s="806" t="s">
        <v>94</v>
      </c>
      <c r="AR557" s="806"/>
      <c r="AS557" s="806"/>
      <c r="AT557" s="190" t="s">
        <v>131</v>
      </c>
      <c r="AU557" s="575"/>
      <c r="AV557" s="576"/>
      <c r="AW557" s="576"/>
      <c r="AX557" s="576"/>
      <c r="AY557" s="576"/>
      <c r="AZ557" s="576"/>
      <c r="BA557" s="576"/>
      <c r="BB557" s="577"/>
      <c r="BC557" s="579"/>
      <c r="BD557" s="609"/>
      <c r="BE557" s="117"/>
      <c r="BF557" s="118"/>
    </row>
    <row r="558" spans="1:58" s="120" customFormat="1" ht="24.95" customHeight="1" x14ac:dyDescent="0.25">
      <c r="A558" s="675"/>
      <c r="B558" s="664"/>
      <c r="C558" s="665"/>
      <c r="D558" s="817"/>
      <c r="E558" s="689"/>
      <c r="F558" s="759"/>
      <c r="G558" s="815"/>
      <c r="H558" s="811"/>
      <c r="I558" s="804"/>
      <c r="J558" s="719"/>
      <c r="K558" s="804"/>
      <c r="L558" s="804"/>
      <c r="M558" s="724"/>
      <c r="N558" s="724"/>
      <c r="O558" s="724"/>
      <c r="P558" s="719"/>
      <c r="Q558" s="719"/>
      <c r="R558" s="719"/>
      <c r="S558" s="719"/>
      <c r="T558" s="808"/>
      <c r="U558" s="172" t="s">
        <v>96</v>
      </c>
      <c r="V558" s="195">
        <f t="shared" ref="V558:AC558" si="447">IF((V556/V557)&lt;$I$8,(V556/V557),IF((V556/V557)&lt;$J$8,(V556/V557),IF((V556/V557)&lt;$J$9,(V556/V557),IF((V556/V557)&gt;=$J$9,$J$9))))</f>
        <v>0</v>
      </c>
      <c r="W558" s="123">
        <f t="shared" si="447"/>
        <v>0</v>
      </c>
      <c r="X558" s="123">
        <f t="shared" si="447"/>
        <v>0</v>
      </c>
      <c r="Y558" s="123">
        <f t="shared" si="447"/>
        <v>0</v>
      </c>
      <c r="Z558" s="195">
        <f t="shared" si="447"/>
        <v>0</v>
      </c>
      <c r="AA558" s="123">
        <f t="shared" si="447"/>
        <v>0</v>
      </c>
      <c r="AB558" s="123">
        <f t="shared" si="447"/>
        <v>0</v>
      </c>
      <c r="AC558" s="123">
        <f t="shared" si="447"/>
        <v>0</v>
      </c>
      <c r="AD558" s="812"/>
      <c r="AE558" s="813"/>
      <c r="AF558" s="813"/>
      <c r="AG558" s="813"/>
      <c r="AH558" s="718"/>
      <c r="AI558" s="718"/>
      <c r="AJ558" s="807"/>
      <c r="AK558" s="807"/>
      <c r="AL558" s="807"/>
      <c r="AM558" s="807"/>
      <c r="AN558" s="336"/>
      <c r="AO558" s="336"/>
      <c r="AP558" s="807"/>
      <c r="AQ558" s="807"/>
      <c r="AR558" s="807"/>
      <c r="AS558" s="807"/>
      <c r="AT558" s="190" t="s">
        <v>132</v>
      </c>
      <c r="AU558" s="575"/>
      <c r="AV558" s="576"/>
      <c r="AW558" s="576"/>
      <c r="AX558" s="576"/>
      <c r="AY558" s="576"/>
      <c r="AZ558" s="576"/>
      <c r="BA558" s="576"/>
      <c r="BB558" s="577"/>
      <c r="BC558" s="579"/>
      <c r="BD558" s="609"/>
      <c r="BE558" s="117"/>
      <c r="BF558" s="118"/>
    </row>
    <row r="559" spans="1:58" s="120" customFormat="1" ht="35.1" customHeight="1" x14ac:dyDescent="0.25">
      <c r="A559" s="675"/>
      <c r="B559" s="664"/>
      <c r="C559" s="665">
        <v>4</v>
      </c>
      <c r="D559" s="817"/>
      <c r="E559" s="689"/>
      <c r="F559" s="759"/>
      <c r="G559" s="815"/>
      <c r="H559" s="758">
        <v>0.2</v>
      </c>
      <c r="I559" s="736" t="s">
        <v>889</v>
      </c>
      <c r="J559" s="719">
        <v>0.8</v>
      </c>
      <c r="K559" s="804" t="s">
        <v>890</v>
      </c>
      <c r="L559" s="804" t="s">
        <v>891</v>
      </c>
      <c r="M559" s="722" t="str">
        <f>CONCATENATE(U559,$R$29,U560)</f>
        <v>No. de servidores que participan en la jornada de sensibilización durante el periodoNo. de servidores programados para la jornada de sensibilización durante el periodo</v>
      </c>
      <c r="N559" s="722" t="s">
        <v>892</v>
      </c>
      <c r="O559" s="722" t="s">
        <v>893</v>
      </c>
      <c r="P559" s="719">
        <v>0.1</v>
      </c>
      <c r="Q559" s="719">
        <v>0.7</v>
      </c>
      <c r="R559" s="719">
        <v>0.75</v>
      </c>
      <c r="S559" s="719">
        <v>0.7</v>
      </c>
      <c r="T559" s="808" t="s">
        <v>91</v>
      </c>
      <c r="U559" s="164" t="s">
        <v>894</v>
      </c>
      <c r="V559" s="164"/>
      <c r="W559" s="164"/>
      <c r="X559" s="164"/>
      <c r="Y559" s="164"/>
      <c r="Z559" s="406"/>
      <c r="AA559" s="407"/>
      <c r="AB559" s="407"/>
      <c r="AC559" s="407"/>
      <c r="AD559" s="812"/>
      <c r="AE559" s="813"/>
      <c r="AF559" s="813"/>
      <c r="AG559" s="813"/>
      <c r="AH559" s="805" t="s">
        <v>873</v>
      </c>
      <c r="AI559" s="805" t="s">
        <v>873</v>
      </c>
      <c r="AJ559" s="805" t="s">
        <v>94</v>
      </c>
      <c r="AK559" s="805"/>
      <c r="AL559" s="805"/>
      <c r="AM559" s="805"/>
      <c r="AN559" s="333"/>
      <c r="AO559" s="333"/>
      <c r="AP559" s="805" t="s">
        <v>94</v>
      </c>
      <c r="AQ559" s="805" t="s">
        <v>94</v>
      </c>
      <c r="AR559" s="805"/>
      <c r="AS559" s="805"/>
      <c r="AT559" s="190" t="s">
        <v>129</v>
      </c>
      <c r="AU559" s="195">
        <f t="shared" ref="AU559:BB559" si="448">+V561*$J$559</f>
        <v>0</v>
      </c>
      <c r="AV559" s="195">
        <f t="shared" si="448"/>
        <v>0</v>
      </c>
      <c r="AW559" s="203">
        <f t="shared" si="448"/>
        <v>0</v>
      </c>
      <c r="AX559" s="195">
        <f t="shared" si="448"/>
        <v>0</v>
      </c>
      <c r="AY559" s="195">
        <f t="shared" si="448"/>
        <v>0</v>
      </c>
      <c r="AZ559" s="195">
        <f t="shared" si="448"/>
        <v>0</v>
      </c>
      <c r="BA559" s="203">
        <f t="shared" si="448"/>
        <v>0</v>
      </c>
      <c r="BB559" s="195">
        <f t="shared" si="448"/>
        <v>0</v>
      </c>
      <c r="BC559" s="579"/>
      <c r="BD559" s="609"/>
      <c r="BE559" s="117"/>
      <c r="BF559" s="118"/>
    </row>
    <row r="560" spans="1:58" s="120" customFormat="1" ht="35.1" customHeight="1" x14ac:dyDescent="0.25">
      <c r="A560" s="675"/>
      <c r="B560" s="664"/>
      <c r="C560" s="665"/>
      <c r="D560" s="817"/>
      <c r="E560" s="689"/>
      <c r="F560" s="759"/>
      <c r="G560" s="815"/>
      <c r="H560" s="759"/>
      <c r="I560" s="737"/>
      <c r="J560" s="719"/>
      <c r="K560" s="804"/>
      <c r="L560" s="804"/>
      <c r="M560" s="723"/>
      <c r="N560" s="723"/>
      <c r="O560" s="723"/>
      <c r="P560" s="719"/>
      <c r="Q560" s="719"/>
      <c r="R560" s="719"/>
      <c r="S560" s="719"/>
      <c r="T560" s="808"/>
      <c r="U560" s="176" t="s">
        <v>895</v>
      </c>
      <c r="V560" s="251">
        <v>0.01</v>
      </c>
      <c r="W560" s="251">
        <v>228</v>
      </c>
      <c r="X560" s="251">
        <v>0.01</v>
      </c>
      <c r="Y560" s="251">
        <v>0.01</v>
      </c>
      <c r="Z560" s="220">
        <f>+V560</f>
        <v>0.01</v>
      </c>
      <c r="AA560" s="220">
        <f>+V560+W560</f>
        <v>228.01</v>
      </c>
      <c r="AB560" s="220">
        <f>+V560+W560+X560</f>
        <v>228.01999999999998</v>
      </c>
      <c r="AC560" s="220">
        <f>+V560+W560+X560+Y560</f>
        <v>228.02999999999997</v>
      </c>
      <c r="AD560" s="812"/>
      <c r="AE560" s="813"/>
      <c r="AF560" s="813"/>
      <c r="AG560" s="813"/>
      <c r="AH560" s="806"/>
      <c r="AI560" s="806"/>
      <c r="AJ560" s="806"/>
      <c r="AK560" s="806"/>
      <c r="AL560" s="806"/>
      <c r="AM560" s="806"/>
      <c r="AN560" s="335"/>
      <c r="AO560" s="335"/>
      <c r="AP560" s="806"/>
      <c r="AQ560" s="806"/>
      <c r="AR560" s="806"/>
      <c r="AS560" s="806"/>
      <c r="AT560" s="190" t="s">
        <v>131</v>
      </c>
      <c r="AU560" s="575"/>
      <c r="AV560" s="576"/>
      <c r="AW560" s="576"/>
      <c r="AX560" s="576"/>
      <c r="AY560" s="576"/>
      <c r="AZ560" s="576"/>
      <c r="BA560" s="576"/>
      <c r="BB560" s="577"/>
      <c r="BC560" s="579"/>
      <c r="BD560" s="609"/>
      <c r="BE560" s="117"/>
      <c r="BF560" s="118"/>
    </row>
    <row r="561" spans="1:58" s="120" customFormat="1" ht="24.95" customHeight="1" x14ac:dyDescent="0.25">
      <c r="A561" s="675"/>
      <c r="B561" s="664"/>
      <c r="C561" s="665"/>
      <c r="D561" s="817"/>
      <c r="E561" s="689"/>
      <c r="F561" s="759"/>
      <c r="G561" s="815"/>
      <c r="H561" s="759"/>
      <c r="I561" s="737"/>
      <c r="J561" s="719"/>
      <c r="K561" s="804"/>
      <c r="L561" s="804"/>
      <c r="M561" s="724"/>
      <c r="N561" s="724"/>
      <c r="O561" s="724"/>
      <c r="P561" s="719"/>
      <c r="Q561" s="719"/>
      <c r="R561" s="719"/>
      <c r="S561" s="719"/>
      <c r="T561" s="808"/>
      <c r="U561" s="172" t="s">
        <v>96</v>
      </c>
      <c r="V561" s="195">
        <f t="shared" ref="V561:AC561" si="449">IF((V559/V560)&lt;$I$8,(V559/V560),IF((V559/V560)&lt;$J$8,(V559/V560),IF((V559/V560)&lt;$J$9,(V559/V560),IF((V559/V560)&gt;=$J$9,$J$9))))</f>
        <v>0</v>
      </c>
      <c r="W561" s="408">
        <f t="shared" si="449"/>
        <v>0</v>
      </c>
      <c r="X561" s="123">
        <f t="shared" si="449"/>
        <v>0</v>
      </c>
      <c r="Y561" s="195">
        <f t="shared" si="449"/>
        <v>0</v>
      </c>
      <c r="Z561" s="195">
        <f t="shared" si="449"/>
        <v>0</v>
      </c>
      <c r="AA561" s="195">
        <f t="shared" si="449"/>
        <v>0</v>
      </c>
      <c r="AB561" s="123">
        <f t="shared" si="449"/>
        <v>0</v>
      </c>
      <c r="AC561" s="195">
        <f t="shared" si="449"/>
        <v>0</v>
      </c>
      <c r="AD561" s="812"/>
      <c r="AE561" s="813"/>
      <c r="AF561" s="813"/>
      <c r="AG561" s="813"/>
      <c r="AH561" s="807"/>
      <c r="AI561" s="807"/>
      <c r="AJ561" s="807"/>
      <c r="AK561" s="807"/>
      <c r="AL561" s="807"/>
      <c r="AM561" s="807"/>
      <c r="AN561" s="336"/>
      <c r="AO561" s="336"/>
      <c r="AP561" s="807"/>
      <c r="AQ561" s="807"/>
      <c r="AR561" s="807"/>
      <c r="AS561" s="807"/>
      <c r="AT561" s="190" t="s">
        <v>132</v>
      </c>
      <c r="AU561" s="575"/>
      <c r="AV561" s="576"/>
      <c r="AW561" s="576"/>
      <c r="AX561" s="576"/>
      <c r="AY561" s="576"/>
      <c r="AZ561" s="576"/>
      <c r="BA561" s="576"/>
      <c r="BB561" s="577"/>
      <c r="BC561" s="579"/>
      <c r="BD561" s="609"/>
      <c r="BE561" s="117"/>
      <c r="BF561" s="118"/>
    </row>
    <row r="562" spans="1:58" s="120" customFormat="1" ht="35.1" customHeight="1" x14ac:dyDescent="0.25">
      <c r="A562" s="128"/>
      <c r="B562" s="664"/>
      <c r="C562" s="665">
        <v>5</v>
      </c>
      <c r="D562" s="817"/>
      <c r="E562" s="689"/>
      <c r="F562" s="759"/>
      <c r="G562" s="815"/>
      <c r="H562" s="759"/>
      <c r="I562" s="737"/>
      <c r="J562" s="719">
        <v>0.2</v>
      </c>
      <c r="K562" s="804" t="s">
        <v>896</v>
      </c>
      <c r="L562" s="804" t="s">
        <v>897</v>
      </c>
      <c r="M562" s="722" t="str">
        <f>CONCATENATE(U562,$R$29,U563)</f>
        <v>No. de evaluaciones de conocimiento con un puntaje igual o superior a 70 puntos Total de las evaluaciones de conocimiento</v>
      </c>
      <c r="N562" s="722" t="s">
        <v>898</v>
      </c>
      <c r="O562" s="722" t="s">
        <v>893</v>
      </c>
      <c r="P562" s="719">
        <v>0.1</v>
      </c>
      <c r="Q562" s="719">
        <v>0.7</v>
      </c>
      <c r="R562" s="719">
        <v>0.75</v>
      </c>
      <c r="S562" s="719">
        <v>0.7</v>
      </c>
      <c r="T562" s="808" t="s">
        <v>91</v>
      </c>
      <c r="U562" s="164" t="s">
        <v>899</v>
      </c>
      <c r="V562" s="164"/>
      <c r="W562" s="164"/>
      <c r="X562" s="287"/>
      <c r="Y562" s="287"/>
      <c r="Z562" s="406"/>
      <c r="AA562" s="406"/>
      <c r="AB562" s="406"/>
      <c r="AC562" s="406"/>
      <c r="AD562" s="812"/>
      <c r="AE562" s="813"/>
      <c r="AF562" s="813"/>
      <c r="AG562" s="813"/>
      <c r="AH562" s="805" t="s">
        <v>873</v>
      </c>
      <c r="AI562" s="805" t="s">
        <v>873</v>
      </c>
      <c r="AJ562" s="805" t="s">
        <v>94</v>
      </c>
      <c r="AK562" s="805"/>
      <c r="AL562" s="805"/>
      <c r="AM562" s="805"/>
      <c r="AN562" s="333"/>
      <c r="AO562" s="333"/>
      <c r="AP562" s="805" t="s">
        <v>94</v>
      </c>
      <c r="AQ562" s="805" t="s">
        <v>94</v>
      </c>
      <c r="AR562" s="805"/>
      <c r="AS562" s="805"/>
      <c r="AT562" s="190" t="s">
        <v>129</v>
      </c>
      <c r="AU562" s="195">
        <f t="shared" ref="AU562:BB562" si="450">+V564*$J$562</f>
        <v>0</v>
      </c>
      <c r="AV562" s="195">
        <f t="shared" si="450"/>
        <v>0</v>
      </c>
      <c r="AW562" s="203">
        <f t="shared" si="450"/>
        <v>0</v>
      </c>
      <c r="AX562" s="195">
        <f t="shared" si="450"/>
        <v>0</v>
      </c>
      <c r="AY562" s="195">
        <f t="shared" si="450"/>
        <v>0</v>
      </c>
      <c r="AZ562" s="195">
        <f t="shared" si="450"/>
        <v>0</v>
      </c>
      <c r="BA562" s="203">
        <f t="shared" si="450"/>
        <v>0</v>
      </c>
      <c r="BB562" s="195">
        <f t="shared" si="450"/>
        <v>0</v>
      </c>
      <c r="BC562" s="579"/>
      <c r="BD562" s="609"/>
      <c r="BE562" s="117"/>
      <c r="BF562" s="118"/>
    </row>
    <row r="563" spans="1:58" s="120" customFormat="1" ht="35.1" customHeight="1" x14ac:dyDescent="0.25">
      <c r="A563" s="128"/>
      <c r="B563" s="664"/>
      <c r="C563" s="665"/>
      <c r="D563" s="817"/>
      <c r="E563" s="689"/>
      <c r="F563" s="759"/>
      <c r="G563" s="815"/>
      <c r="H563" s="759"/>
      <c r="I563" s="737"/>
      <c r="J563" s="719"/>
      <c r="K563" s="804"/>
      <c r="L563" s="804"/>
      <c r="M563" s="723"/>
      <c r="N563" s="723"/>
      <c r="O563" s="723"/>
      <c r="P563" s="719"/>
      <c r="Q563" s="719"/>
      <c r="R563" s="719"/>
      <c r="S563" s="719"/>
      <c r="T563" s="808"/>
      <c r="U563" s="176" t="s">
        <v>900</v>
      </c>
      <c r="V563" s="251">
        <v>1E-4</v>
      </c>
      <c r="W563" s="251">
        <v>315</v>
      </c>
      <c r="X563" s="251">
        <v>0.01</v>
      </c>
      <c r="Y563" s="251">
        <v>1E-4</v>
      </c>
      <c r="Z563" s="251">
        <v>1E-4</v>
      </c>
      <c r="AA563" s="251">
        <v>315</v>
      </c>
      <c r="AB563" s="251">
        <v>0.01</v>
      </c>
      <c r="AC563" s="251">
        <v>1E-4</v>
      </c>
      <c r="AD563" s="812"/>
      <c r="AE563" s="813"/>
      <c r="AF563" s="813"/>
      <c r="AG563" s="813"/>
      <c r="AH563" s="806"/>
      <c r="AI563" s="806"/>
      <c r="AJ563" s="806"/>
      <c r="AK563" s="806"/>
      <c r="AL563" s="806"/>
      <c r="AM563" s="806"/>
      <c r="AN563" s="335"/>
      <c r="AO563" s="335"/>
      <c r="AP563" s="806"/>
      <c r="AQ563" s="806"/>
      <c r="AR563" s="806"/>
      <c r="AS563" s="806"/>
      <c r="AT563" s="190" t="s">
        <v>131</v>
      </c>
      <c r="AU563" s="575"/>
      <c r="AV563" s="576"/>
      <c r="AW563" s="576"/>
      <c r="AX563" s="576"/>
      <c r="AY563" s="576"/>
      <c r="AZ563" s="576"/>
      <c r="BA563" s="576"/>
      <c r="BB563" s="577"/>
      <c r="BC563" s="579"/>
      <c r="BD563" s="609"/>
      <c r="BE563" s="117"/>
      <c r="BF563" s="118"/>
    </row>
    <row r="564" spans="1:58" s="120" customFormat="1" ht="24.95" customHeight="1" x14ac:dyDescent="0.25">
      <c r="A564" s="128"/>
      <c r="B564" s="664"/>
      <c r="C564" s="665"/>
      <c r="D564" s="817"/>
      <c r="E564" s="689"/>
      <c r="F564" s="759"/>
      <c r="G564" s="815"/>
      <c r="H564" s="759"/>
      <c r="I564" s="737"/>
      <c r="J564" s="719"/>
      <c r="K564" s="804"/>
      <c r="L564" s="804"/>
      <c r="M564" s="724"/>
      <c r="N564" s="724"/>
      <c r="O564" s="724"/>
      <c r="P564" s="719"/>
      <c r="Q564" s="719"/>
      <c r="R564" s="719"/>
      <c r="S564" s="719"/>
      <c r="T564" s="808"/>
      <c r="U564" s="172" t="s">
        <v>96</v>
      </c>
      <c r="V564" s="197">
        <f t="shared" ref="V564:AC564" si="451">IF((V562/V563)&lt;$I$8,(V562/V563),IF((V562/V563)&lt;$J$8,(V562/V563),IF((V562/V563)&lt;$J$9,(V562/V563),IF((V562/V563)&gt;=$J$9,$J$9))))</f>
        <v>0</v>
      </c>
      <c r="W564" s="408">
        <f t="shared" si="451"/>
        <v>0</v>
      </c>
      <c r="X564" s="123">
        <f t="shared" si="451"/>
        <v>0</v>
      </c>
      <c r="Y564" s="195">
        <f t="shared" si="451"/>
        <v>0</v>
      </c>
      <c r="Z564" s="195">
        <f t="shared" si="451"/>
        <v>0</v>
      </c>
      <c r="AA564" s="195">
        <f t="shared" si="451"/>
        <v>0</v>
      </c>
      <c r="AB564" s="123">
        <f t="shared" si="451"/>
        <v>0</v>
      </c>
      <c r="AC564" s="195">
        <f t="shared" si="451"/>
        <v>0</v>
      </c>
      <c r="AD564" s="812"/>
      <c r="AE564" s="813"/>
      <c r="AF564" s="813"/>
      <c r="AG564" s="813"/>
      <c r="AH564" s="807"/>
      <c r="AI564" s="807"/>
      <c r="AJ564" s="807"/>
      <c r="AK564" s="807"/>
      <c r="AL564" s="807"/>
      <c r="AM564" s="807"/>
      <c r="AN564" s="336"/>
      <c r="AO564" s="336"/>
      <c r="AP564" s="807"/>
      <c r="AQ564" s="807"/>
      <c r="AR564" s="807"/>
      <c r="AS564" s="807"/>
      <c r="AT564" s="190" t="s">
        <v>132</v>
      </c>
      <c r="AU564" s="575"/>
      <c r="AV564" s="576"/>
      <c r="AW564" s="576"/>
      <c r="AX564" s="576"/>
      <c r="AY564" s="576"/>
      <c r="AZ564" s="576"/>
      <c r="BA564" s="576"/>
      <c r="BB564" s="577"/>
      <c r="BC564" s="579"/>
      <c r="BD564" s="609"/>
      <c r="BE564" s="117"/>
      <c r="BF564" s="118"/>
    </row>
    <row r="565" spans="1:58" s="120" customFormat="1" ht="35.1" customHeight="1" x14ac:dyDescent="0.25">
      <c r="A565" s="128"/>
      <c r="B565" s="664"/>
      <c r="C565" s="673">
        <v>6</v>
      </c>
      <c r="D565" s="817"/>
      <c r="E565" s="689"/>
      <c r="F565" s="759"/>
      <c r="G565" s="758" t="s">
        <v>337</v>
      </c>
      <c r="H565" s="758">
        <v>0.1</v>
      </c>
      <c r="I565" s="722" t="s">
        <v>901</v>
      </c>
      <c r="J565" s="758">
        <v>1</v>
      </c>
      <c r="K565" s="722" t="s">
        <v>647</v>
      </c>
      <c r="L565" s="722" t="s">
        <v>902</v>
      </c>
      <c r="M565" s="722" t="str">
        <f>CONCATENATE(U565,$R$29,U566)</f>
        <v>No. de Procedimientos revisados y actualizados en IsolucionNo. de Procedimientos vigentes programados para revisión y actualización en Isolucion</v>
      </c>
      <c r="N565" s="722" t="s">
        <v>903</v>
      </c>
      <c r="O565" s="722" t="s">
        <v>741</v>
      </c>
      <c r="P565" s="758">
        <v>0.1</v>
      </c>
      <c r="Q565" s="758">
        <v>1</v>
      </c>
      <c r="R565" s="758">
        <v>1</v>
      </c>
      <c r="S565" s="758">
        <v>1</v>
      </c>
      <c r="T565" s="764" t="s">
        <v>91</v>
      </c>
      <c r="U565" s="164" t="s">
        <v>904</v>
      </c>
      <c r="V565" s="164"/>
      <c r="W565" s="164"/>
      <c r="X565" s="164"/>
      <c r="Y565" s="164"/>
      <c r="Z565" s="165"/>
      <c r="AA565" s="165"/>
      <c r="AB565" s="165"/>
      <c r="AC565" s="165"/>
      <c r="AD565" s="812"/>
      <c r="AE565" s="813"/>
      <c r="AF565" s="813"/>
      <c r="AG565" s="813"/>
      <c r="AH565" s="716" t="s">
        <v>873</v>
      </c>
      <c r="AI565" s="716" t="s">
        <v>873</v>
      </c>
      <c r="AJ565" s="716" t="s">
        <v>94</v>
      </c>
      <c r="AK565" s="716"/>
      <c r="AL565" s="716"/>
      <c r="AM565" s="716"/>
      <c r="AN565" s="716" t="s">
        <v>94</v>
      </c>
      <c r="AO565" s="355"/>
      <c r="AP565" s="355"/>
      <c r="AQ565" s="716" t="s">
        <v>94</v>
      </c>
      <c r="AR565" s="716"/>
      <c r="AS565" s="716"/>
      <c r="AT565" s="190" t="s">
        <v>129</v>
      </c>
      <c r="AU565" s="195">
        <f t="shared" ref="AU565:BB565" si="452">+V567*$J$565</f>
        <v>0</v>
      </c>
      <c r="AV565" s="203">
        <f t="shared" si="452"/>
        <v>0</v>
      </c>
      <c r="AW565" s="195">
        <f t="shared" si="452"/>
        <v>0</v>
      </c>
      <c r="AX565" s="195">
        <f t="shared" si="452"/>
        <v>0</v>
      </c>
      <c r="AY565" s="195">
        <f t="shared" si="452"/>
        <v>0</v>
      </c>
      <c r="AZ565" s="203">
        <f t="shared" si="452"/>
        <v>0</v>
      </c>
      <c r="BA565" s="195">
        <f t="shared" si="452"/>
        <v>0</v>
      </c>
      <c r="BB565" s="195">
        <f t="shared" si="452"/>
        <v>0</v>
      </c>
      <c r="BC565" s="579"/>
      <c r="BD565" s="609"/>
      <c r="BE565" s="117"/>
      <c r="BF565" s="118"/>
    </row>
    <row r="566" spans="1:58" s="120" customFormat="1" ht="35.1" customHeight="1" x14ac:dyDescent="0.25">
      <c r="A566" s="128"/>
      <c r="B566" s="664"/>
      <c r="C566" s="673"/>
      <c r="D566" s="817"/>
      <c r="E566" s="689"/>
      <c r="F566" s="759"/>
      <c r="G566" s="759"/>
      <c r="H566" s="759"/>
      <c r="I566" s="723"/>
      <c r="J566" s="759"/>
      <c r="K566" s="723"/>
      <c r="L566" s="723"/>
      <c r="M566" s="723"/>
      <c r="N566" s="723"/>
      <c r="O566" s="723"/>
      <c r="P566" s="759"/>
      <c r="Q566" s="759"/>
      <c r="R566" s="759"/>
      <c r="S566" s="759"/>
      <c r="T566" s="765"/>
      <c r="U566" s="176" t="s">
        <v>905</v>
      </c>
      <c r="V566" s="251">
        <v>0.01</v>
      </c>
      <c r="W566" s="251">
        <v>3</v>
      </c>
      <c r="X566" s="251">
        <v>0.01</v>
      </c>
      <c r="Y566" s="251">
        <v>0.01</v>
      </c>
      <c r="Z566" s="220">
        <f>+V566</f>
        <v>0.01</v>
      </c>
      <c r="AA566" s="170">
        <f>+W566</f>
        <v>3</v>
      </c>
      <c r="AB566" s="251">
        <f>+X566</f>
        <v>0.01</v>
      </c>
      <c r="AC566" s="251">
        <f>+Y566</f>
        <v>0.01</v>
      </c>
      <c r="AD566" s="812"/>
      <c r="AE566" s="813"/>
      <c r="AF566" s="813"/>
      <c r="AG566" s="813"/>
      <c r="AH566" s="717"/>
      <c r="AI566" s="717"/>
      <c r="AJ566" s="717"/>
      <c r="AK566" s="717"/>
      <c r="AL566" s="717"/>
      <c r="AM566" s="717"/>
      <c r="AN566" s="717"/>
      <c r="AO566" s="356"/>
      <c r="AP566" s="356"/>
      <c r="AQ566" s="717"/>
      <c r="AR566" s="717"/>
      <c r="AS566" s="717"/>
      <c r="AT566" s="190" t="s">
        <v>131</v>
      </c>
      <c r="AU566" s="575"/>
      <c r="AV566" s="576"/>
      <c r="AW566" s="576"/>
      <c r="AX566" s="576"/>
      <c r="AY566" s="576"/>
      <c r="AZ566" s="576"/>
      <c r="BA566" s="576"/>
      <c r="BB566" s="577"/>
      <c r="BC566" s="579"/>
      <c r="BD566" s="609"/>
      <c r="BE566" s="117"/>
      <c r="BF566" s="118"/>
    </row>
    <row r="567" spans="1:58" s="120" customFormat="1" ht="24.95" customHeight="1" x14ac:dyDescent="0.25">
      <c r="A567" s="128"/>
      <c r="B567" s="664"/>
      <c r="C567" s="673"/>
      <c r="D567" s="817"/>
      <c r="E567" s="689"/>
      <c r="F567" s="759"/>
      <c r="G567" s="759"/>
      <c r="H567" s="760"/>
      <c r="I567" s="724"/>
      <c r="J567" s="760"/>
      <c r="K567" s="724"/>
      <c r="L567" s="724"/>
      <c r="M567" s="724"/>
      <c r="N567" s="724"/>
      <c r="O567" s="724"/>
      <c r="P567" s="760"/>
      <c r="Q567" s="760"/>
      <c r="R567" s="760"/>
      <c r="S567" s="760"/>
      <c r="T567" s="766"/>
      <c r="U567" s="172" t="s">
        <v>96</v>
      </c>
      <c r="V567" s="318">
        <f t="shared" ref="V567:AC567" si="453">IF((V565/V566)&lt;$I$8,(V565/V566),IF((V565/V566)&lt;$J$8,(V565/V566),IF((V565/V566)&lt;$J$9,(V565/V566),IF((V565/V566)&gt;=$J$9,$J$9))))</f>
        <v>0</v>
      </c>
      <c r="W567" s="123">
        <f t="shared" si="453"/>
        <v>0</v>
      </c>
      <c r="X567" s="318">
        <f t="shared" si="453"/>
        <v>0</v>
      </c>
      <c r="Y567" s="318">
        <f t="shared" si="453"/>
        <v>0</v>
      </c>
      <c r="Z567" s="318">
        <f t="shared" si="453"/>
        <v>0</v>
      </c>
      <c r="AA567" s="123">
        <f t="shared" si="453"/>
        <v>0</v>
      </c>
      <c r="AB567" s="318">
        <f t="shared" si="453"/>
        <v>0</v>
      </c>
      <c r="AC567" s="318">
        <f t="shared" si="453"/>
        <v>0</v>
      </c>
      <c r="AD567" s="812"/>
      <c r="AE567" s="813"/>
      <c r="AF567" s="813"/>
      <c r="AG567" s="813"/>
      <c r="AH567" s="718"/>
      <c r="AI567" s="718"/>
      <c r="AJ567" s="718"/>
      <c r="AK567" s="718"/>
      <c r="AL567" s="718"/>
      <c r="AM567" s="718"/>
      <c r="AN567" s="718"/>
      <c r="AO567" s="357"/>
      <c r="AP567" s="357"/>
      <c r="AQ567" s="718"/>
      <c r="AR567" s="718"/>
      <c r="AS567" s="718"/>
      <c r="AT567" s="190" t="s">
        <v>132</v>
      </c>
      <c r="AU567" s="575"/>
      <c r="AV567" s="576"/>
      <c r="AW567" s="576"/>
      <c r="AX567" s="576"/>
      <c r="AY567" s="576"/>
      <c r="AZ567" s="576"/>
      <c r="BA567" s="576"/>
      <c r="BB567" s="577"/>
      <c r="BC567" s="579"/>
      <c r="BD567" s="609"/>
      <c r="BE567" s="117"/>
      <c r="BF567" s="118"/>
    </row>
    <row r="568" spans="1:58" s="120" customFormat="1" ht="35.1" customHeight="1" x14ac:dyDescent="0.25">
      <c r="A568" s="128"/>
      <c r="B568" s="664"/>
      <c r="C568" s="673">
        <v>7</v>
      </c>
      <c r="D568" s="817"/>
      <c r="E568" s="689"/>
      <c r="F568" s="759"/>
      <c r="G568" s="759"/>
      <c r="H568" s="758">
        <v>0.1</v>
      </c>
      <c r="I568" s="736" t="s">
        <v>906</v>
      </c>
      <c r="J568" s="761">
        <v>1</v>
      </c>
      <c r="K568" s="736" t="s">
        <v>907</v>
      </c>
      <c r="L568" s="736" t="s">
        <v>908</v>
      </c>
      <c r="M568" s="736" t="s">
        <v>909</v>
      </c>
      <c r="N568" s="722" t="s">
        <v>910</v>
      </c>
      <c r="O568" s="736" t="s">
        <v>911</v>
      </c>
      <c r="P568" s="758">
        <v>0.1</v>
      </c>
      <c r="Q568" s="758">
        <v>1</v>
      </c>
      <c r="R568" s="758">
        <v>1</v>
      </c>
      <c r="S568" s="758">
        <v>1</v>
      </c>
      <c r="T568" s="764" t="s">
        <v>151</v>
      </c>
      <c r="U568" s="164" t="s">
        <v>912</v>
      </c>
      <c r="V568" s="164"/>
      <c r="W568" s="164"/>
      <c r="X568" s="164"/>
      <c r="Y568" s="164"/>
      <c r="Z568" s="165"/>
      <c r="AA568" s="165"/>
      <c r="AB568" s="165"/>
      <c r="AC568" s="165"/>
      <c r="AD568" s="812"/>
      <c r="AE568" s="813"/>
      <c r="AF568" s="813"/>
      <c r="AG568" s="813"/>
      <c r="AH568" s="716" t="s">
        <v>873</v>
      </c>
      <c r="AI568" s="716" t="s">
        <v>873</v>
      </c>
      <c r="AJ568" s="716" t="s">
        <v>94</v>
      </c>
      <c r="AK568" s="801"/>
      <c r="AL568" s="801"/>
      <c r="AM568" s="801"/>
      <c r="AN568" s="716" t="s">
        <v>94</v>
      </c>
      <c r="AO568" s="801"/>
      <c r="AP568" s="801"/>
      <c r="AQ568" s="716" t="s">
        <v>94</v>
      </c>
      <c r="AR568" s="801"/>
      <c r="AS568" s="801"/>
      <c r="AT568" s="190" t="s">
        <v>129</v>
      </c>
      <c r="AU568" s="195">
        <f t="shared" ref="AU568:BB568" si="454">+V570*$J$568</f>
        <v>0</v>
      </c>
      <c r="AV568" s="203">
        <f t="shared" si="454"/>
        <v>0</v>
      </c>
      <c r="AW568" s="195">
        <f t="shared" si="454"/>
        <v>0</v>
      </c>
      <c r="AX568" s="203">
        <f t="shared" si="454"/>
        <v>0</v>
      </c>
      <c r="AY568" s="195">
        <f t="shared" si="454"/>
        <v>0</v>
      </c>
      <c r="AZ568" s="203">
        <f t="shared" si="454"/>
        <v>0</v>
      </c>
      <c r="BA568" s="195">
        <f t="shared" si="454"/>
        <v>0</v>
      </c>
      <c r="BB568" s="203">
        <f t="shared" si="454"/>
        <v>0</v>
      </c>
      <c r="BC568" s="579"/>
      <c r="BD568" s="609"/>
      <c r="BE568" s="117"/>
      <c r="BF568" s="118"/>
    </row>
    <row r="569" spans="1:58" s="120" customFormat="1" ht="35.1" customHeight="1" x14ac:dyDescent="0.25">
      <c r="A569" s="128"/>
      <c r="B569" s="664"/>
      <c r="C569" s="673"/>
      <c r="D569" s="817"/>
      <c r="E569" s="689"/>
      <c r="F569" s="759"/>
      <c r="G569" s="759"/>
      <c r="H569" s="759"/>
      <c r="I569" s="737"/>
      <c r="J569" s="762"/>
      <c r="K569" s="737"/>
      <c r="L569" s="737"/>
      <c r="M569" s="737"/>
      <c r="N569" s="723"/>
      <c r="O569" s="737"/>
      <c r="P569" s="759"/>
      <c r="Q569" s="759"/>
      <c r="R569" s="759"/>
      <c r="S569" s="759"/>
      <c r="T569" s="765"/>
      <c r="U569" s="176" t="s">
        <v>913</v>
      </c>
      <c r="V569" s="220">
        <v>0.01</v>
      </c>
      <c r="W569" s="220">
        <v>189</v>
      </c>
      <c r="X569" s="220">
        <v>0.01</v>
      </c>
      <c r="Y569" s="220">
        <v>0.01</v>
      </c>
      <c r="Z569" s="220">
        <v>0.01</v>
      </c>
      <c r="AA569" s="220">
        <v>0.01</v>
      </c>
      <c r="AB569" s="220">
        <v>0.01</v>
      </c>
      <c r="AC569" s="220">
        <v>0.01</v>
      </c>
      <c r="AD569" s="812"/>
      <c r="AE569" s="813"/>
      <c r="AF569" s="813"/>
      <c r="AG569" s="813"/>
      <c r="AH569" s="717"/>
      <c r="AI569" s="717"/>
      <c r="AJ569" s="717"/>
      <c r="AK569" s="802"/>
      <c r="AL569" s="802"/>
      <c r="AM569" s="802"/>
      <c r="AN569" s="717"/>
      <c r="AO569" s="802"/>
      <c r="AP569" s="802"/>
      <c r="AQ569" s="717"/>
      <c r="AR569" s="802"/>
      <c r="AS569" s="802"/>
      <c r="AT569" s="190" t="s">
        <v>131</v>
      </c>
      <c r="AU569" s="575"/>
      <c r="AV569" s="576"/>
      <c r="AW569" s="576"/>
      <c r="AX569" s="576"/>
      <c r="AY569" s="576"/>
      <c r="AZ569" s="576"/>
      <c r="BA569" s="576"/>
      <c r="BB569" s="577"/>
      <c r="BC569" s="579"/>
      <c r="BD569" s="609"/>
      <c r="BE569" s="117"/>
      <c r="BF569" s="118"/>
    </row>
    <row r="570" spans="1:58" s="120" customFormat="1" ht="24.95" customHeight="1" x14ac:dyDescent="0.25">
      <c r="A570" s="128"/>
      <c r="B570" s="664"/>
      <c r="C570" s="673"/>
      <c r="D570" s="817"/>
      <c r="E570" s="689"/>
      <c r="F570" s="760"/>
      <c r="G570" s="760"/>
      <c r="H570" s="760"/>
      <c r="I570" s="738"/>
      <c r="J570" s="763"/>
      <c r="K570" s="738"/>
      <c r="L570" s="738"/>
      <c r="M570" s="738"/>
      <c r="N570" s="724"/>
      <c r="O570" s="738"/>
      <c r="P570" s="760"/>
      <c r="Q570" s="760"/>
      <c r="R570" s="760"/>
      <c r="S570" s="760"/>
      <c r="T570" s="766"/>
      <c r="U570" s="172" t="s">
        <v>96</v>
      </c>
      <c r="V570" s="318">
        <f t="shared" ref="V570:AC570" si="455">IF((V568/V569)&lt;$I$8,(V568/V569),IF((V568/V569)&lt;$J$8,(V568/V569),IF((V568/V569)&lt;$J$9,(V568/V569),IF((V568/V569)&gt;=$J$9,$J$9))))</f>
        <v>0</v>
      </c>
      <c r="W570" s="123">
        <f t="shared" si="455"/>
        <v>0</v>
      </c>
      <c r="X570" s="318">
        <f t="shared" si="455"/>
        <v>0</v>
      </c>
      <c r="Y570" s="123">
        <f t="shared" si="455"/>
        <v>0</v>
      </c>
      <c r="Z570" s="318">
        <f t="shared" si="455"/>
        <v>0</v>
      </c>
      <c r="AA570" s="123">
        <f t="shared" si="455"/>
        <v>0</v>
      </c>
      <c r="AB570" s="318">
        <f t="shared" si="455"/>
        <v>0</v>
      </c>
      <c r="AC570" s="123">
        <f t="shared" si="455"/>
        <v>0</v>
      </c>
      <c r="AD570" s="812"/>
      <c r="AE570" s="813"/>
      <c r="AF570" s="813"/>
      <c r="AG570" s="813"/>
      <c r="AH570" s="718"/>
      <c r="AI570" s="718"/>
      <c r="AJ570" s="718"/>
      <c r="AK570" s="803"/>
      <c r="AL570" s="803"/>
      <c r="AM570" s="803"/>
      <c r="AN570" s="718"/>
      <c r="AO570" s="803"/>
      <c r="AP570" s="803"/>
      <c r="AQ570" s="718"/>
      <c r="AR570" s="803"/>
      <c r="AS570" s="803"/>
      <c r="AT570" s="190" t="s">
        <v>132</v>
      </c>
      <c r="AU570" s="575"/>
      <c r="AV570" s="576"/>
      <c r="AW570" s="576"/>
      <c r="AX570" s="576"/>
      <c r="AY570" s="576"/>
      <c r="AZ570" s="576"/>
      <c r="BA570" s="576"/>
      <c r="BB570" s="577"/>
      <c r="BC570" s="579"/>
      <c r="BD570" s="609"/>
      <c r="BE570" s="117"/>
      <c r="BF570" s="118"/>
    </row>
    <row r="571" spans="1:58" s="120" customFormat="1" ht="35.1" customHeight="1" x14ac:dyDescent="0.25">
      <c r="A571" s="675"/>
      <c r="B571" s="664"/>
      <c r="C571" s="665">
        <v>8</v>
      </c>
      <c r="D571" s="817"/>
      <c r="E571" s="689"/>
      <c r="F571" s="759">
        <v>0.7</v>
      </c>
      <c r="G571" s="785" t="s">
        <v>914</v>
      </c>
      <c r="H571" s="776">
        <v>0.15</v>
      </c>
      <c r="I571" s="549" t="s">
        <v>915</v>
      </c>
      <c r="J571" s="758">
        <v>1</v>
      </c>
      <c r="K571" s="770" t="s">
        <v>916</v>
      </c>
      <c r="L571" s="770" t="s">
        <v>917</v>
      </c>
      <c r="M571" s="722" t="str">
        <f>CONCATENATE(U571,$U$1,U572)</f>
        <v>% de satisfacción obtenida frente a las actividades del plan de bienestar y estímulos% de satisfacción esperada frente a las actividades del plan de bienestar y estímulos</v>
      </c>
      <c r="N571" s="773" t="s">
        <v>918</v>
      </c>
      <c r="O571" s="797" t="s">
        <v>919</v>
      </c>
      <c r="P571" s="776">
        <v>0.15</v>
      </c>
      <c r="Q571" s="761">
        <v>0.9</v>
      </c>
      <c r="R571" s="761">
        <v>0.95</v>
      </c>
      <c r="S571" s="761">
        <v>0.9</v>
      </c>
      <c r="T571" s="764" t="s">
        <v>151</v>
      </c>
      <c r="U571" s="164" t="s">
        <v>920</v>
      </c>
      <c r="V571" s="352"/>
      <c r="W571" s="352"/>
      <c r="X571" s="352"/>
      <c r="Y571" s="352"/>
      <c r="Z571" s="322"/>
      <c r="AA571" s="322"/>
      <c r="AB571" s="322"/>
      <c r="AC571" s="322"/>
      <c r="AD571" s="767">
        <f>+AE571+AF571+AG571</f>
        <v>380000000</v>
      </c>
      <c r="AE571" s="755">
        <v>380000000</v>
      </c>
      <c r="AF571" s="755">
        <v>0</v>
      </c>
      <c r="AG571" s="755">
        <v>0</v>
      </c>
      <c r="AH571" s="716" t="s">
        <v>921</v>
      </c>
      <c r="AI571" s="716" t="s">
        <v>921</v>
      </c>
      <c r="AJ571" s="735" t="s">
        <v>94</v>
      </c>
      <c r="AK571" s="735"/>
      <c r="AL571" s="716" t="s">
        <v>94</v>
      </c>
      <c r="AM571" s="735"/>
      <c r="AN571" s="716"/>
      <c r="AO571" s="716"/>
      <c r="AP571" s="716" t="s">
        <v>94</v>
      </c>
      <c r="AQ571" s="716"/>
      <c r="AR571" s="716"/>
      <c r="AS571" s="716" t="s">
        <v>94</v>
      </c>
      <c r="AT571" s="190" t="s">
        <v>129</v>
      </c>
      <c r="AU571" s="203">
        <f t="shared" ref="AU571:BB571" si="456">+V573*$J$571</f>
        <v>0</v>
      </c>
      <c r="AV571" s="203">
        <f t="shared" si="456"/>
        <v>0</v>
      </c>
      <c r="AW571" s="203">
        <f t="shared" si="456"/>
        <v>0</v>
      </c>
      <c r="AX571" s="203">
        <f t="shared" si="456"/>
        <v>0</v>
      </c>
      <c r="AY571" s="203">
        <f t="shared" si="456"/>
        <v>0</v>
      </c>
      <c r="AZ571" s="203">
        <f t="shared" si="456"/>
        <v>0</v>
      </c>
      <c r="BA571" s="203">
        <f t="shared" si="456"/>
        <v>0</v>
      </c>
      <c r="BB571" s="203">
        <f t="shared" si="456"/>
        <v>0</v>
      </c>
      <c r="BC571" s="579"/>
      <c r="BD571" s="609"/>
      <c r="BE571" s="117"/>
      <c r="BF571" s="118"/>
    </row>
    <row r="572" spans="1:58" s="120" customFormat="1" ht="35.1" customHeight="1" x14ac:dyDescent="0.25">
      <c r="A572" s="675"/>
      <c r="B572" s="664"/>
      <c r="C572" s="665"/>
      <c r="D572" s="817"/>
      <c r="E572" s="689"/>
      <c r="F572" s="759"/>
      <c r="G572" s="786"/>
      <c r="H572" s="777"/>
      <c r="I572" s="550" t="s">
        <v>922</v>
      </c>
      <c r="J572" s="759"/>
      <c r="K572" s="771"/>
      <c r="L572" s="771"/>
      <c r="M572" s="723"/>
      <c r="N572" s="774"/>
      <c r="O572" s="798"/>
      <c r="P572" s="777"/>
      <c r="Q572" s="762"/>
      <c r="R572" s="762"/>
      <c r="S572" s="762"/>
      <c r="T572" s="765"/>
      <c r="U572" s="224" t="s">
        <v>923</v>
      </c>
      <c r="V572" s="228">
        <v>0.9</v>
      </c>
      <c r="W572" s="228">
        <v>0.9</v>
      </c>
      <c r="X572" s="228">
        <v>0.9</v>
      </c>
      <c r="Y572" s="228">
        <v>0.9</v>
      </c>
      <c r="Z572" s="228">
        <v>0.9</v>
      </c>
      <c r="AA572" s="228">
        <v>0.9</v>
      </c>
      <c r="AB572" s="228">
        <v>0.9</v>
      </c>
      <c r="AC572" s="228">
        <v>0.9</v>
      </c>
      <c r="AD572" s="768"/>
      <c r="AE572" s="756"/>
      <c r="AF572" s="756"/>
      <c r="AG572" s="756"/>
      <c r="AH572" s="717"/>
      <c r="AI572" s="717"/>
      <c r="AJ572" s="735"/>
      <c r="AK572" s="735"/>
      <c r="AL572" s="717"/>
      <c r="AM572" s="735"/>
      <c r="AN572" s="717"/>
      <c r="AO572" s="717"/>
      <c r="AP572" s="717"/>
      <c r="AQ572" s="717"/>
      <c r="AR572" s="717"/>
      <c r="AS572" s="717"/>
      <c r="AT572" s="190" t="s">
        <v>131</v>
      </c>
      <c r="AU572" s="203">
        <f>+AU571*$H$571</f>
        <v>0</v>
      </c>
      <c r="AV572" s="203">
        <f t="shared" ref="AV572:BB572" si="457">+AV571*$H$571</f>
        <v>0</v>
      </c>
      <c r="AW572" s="203">
        <f t="shared" si="457"/>
        <v>0</v>
      </c>
      <c r="AX572" s="203">
        <f t="shared" si="457"/>
        <v>0</v>
      </c>
      <c r="AY572" s="203">
        <f t="shared" si="457"/>
        <v>0</v>
      </c>
      <c r="AZ572" s="203">
        <f t="shared" si="457"/>
        <v>0</v>
      </c>
      <c r="BA572" s="203">
        <f t="shared" si="457"/>
        <v>0</v>
      </c>
      <c r="BB572" s="265">
        <f t="shared" si="457"/>
        <v>0</v>
      </c>
      <c r="BC572" s="579"/>
      <c r="BD572" s="609"/>
      <c r="BE572" s="117"/>
      <c r="BF572" s="118"/>
    </row>
    <row r="573" spans="1:58" s="120" customFormat="1" ht="24.95" customHeight="1" x14ac:dyDescent="0.25">
      <c r="A573" s="675"/>
      <c r="B573" s="664"/>
      <c r="C573" s="665"/>
      <c r="D573" s="817"/>
      <c r="E573" s="689"/>
      <c r="F573" s="759"/>
      <c r="G573" s="786"/>
      <c r="H573" s="777"/>
      <c r="I573" s="551" t="s">
        <v>924</v>
      </c>
      <c r="J573" s="760"/>
      <c r="K573" s="772"/>
      <c r="L573" s="772"/>
      <c r="M573" s="724"/>
      <c r="N573" s="775"/>
      <c r="O573" s="799"/>
      <c r="P573" s="778"/>
      <c r="Q573" s="763"/>
      <c r="R573" s="763"/>
      <c r="S573" s="763"/>
      <c r="T573" s="766"/>
      <c r="U573" s="172" t="s">
        <v>96</v>
      </c>
      <c r="V573" s="196">
        <f t="shared" ref="V573:AC573" si="458">IF((V571/V572)&lt;$I$8,(V571/V572),IF((V571/V572)&lt;$J$8,(V571/V572),IF((V571/V572)&lt;$J$9,(V571/V572),IF((V571/V572)&gt;=$J$9,$J$9))))</f>
        <v>0</v>
      </c>
      <c r="W573" s="196">
        <f t="shared" si="458"/>
        <v>0</v>
      </c>
      <c r="X573" s="196">
        <f t="shared" si="458"/>
        <v>0</v>
      </c>
      <c r="Y573" s="196">
        <f t="shared" si="458"/>
        <v>0</v>
      </c>
      <c r="Z573" s="196">
        <f t="shared" si="458"/>
        <v>0</v>
      </c>
      <c r="AA573" s="196">
        <f t="shared" si="458"/>
        <v>0</v>
      </c>
      <c r="AB573" s="196">
        <f t="shared" si="458"/>
        <v>0</v>
      </c>
      <c r="AC573" s="196">
        <f t="shared" si="458"/>
        <v>0</v>
      </c>
      <c r="AD573" s="769"/>
      <c r="AE573" s="757"/>
      <c r="AF573" s="757"/>
      <c r="AG573" s="757"/>
      <c r="AH573" s="718"/>
      <c r="AI573" s="718"/>
      <c r="AJ573" s="735"/>
      <c r="AK573" s="735"/>
      <c r="AL573" s="718"/>
      <c r="AM573" s="735"/>
      <c r="AN573" s="718"/>
      <c r="AO573" s="718"/>
      <c r="AP573" s="718"/>
      <c r="AQ573" s="718"/>
      <c r="AR573" s="718"/>
      <c r="AS573" s="718"/>
      <c r="AT573" s="190" t="s">
        <v>132</v>
      </c>
      <c r="AU573" s="203">
        <f>+(AU572+AU581+AU584+AU593+AU596+AU608+AU611+AU614)*$F571</f>
        <v>0</v>
      </c>
      <c r="AV573" s="203">
        <f t="shared" ref="AV573:BB573" si="459">+(AV572+AV581+AV584+AV593+AV596+AV608+AV611+AV614)*$F571</f>
        <v>0</v>
      </c>
      <c r="AW573" s="203">
        <f t="shared" si="459"/>
        <v>0</v>
      </c>
      <c r="AX573" s="203">
        <f t="shared" si="459"/>
        <v>0</v>
      </c>
      <c r="AY573" s="203">
        <f t="shared" si="459"/>
        <v>0</v>
      </c>
      <c r="AZ573" s="203">
        <f t="shared" si="459"/>
        <v>0</v>
      </c>
      <c r="BA573" s="203">
        <f t="shared" si="459"/>
        <v>0</v>
      </c>
      <c r="BB573" s="203">
        <f t="shared" si="459"/>
        <v>0</v>
      </c>
      <c r="BC573" s="579"/>
      <c r="BD573" s="609"/>
      <c r="BE573" s="117"/>
      <c r="BF573" s="118"/>
    </row>
    <row r="574" spans="1:58" s="120" customFormat="1" ht="24.95" customHeight="1" x14ac:dyDescent="0.25">
      <c r="A574" s="668" t="s">
        <v>230</v>
      </c>
      <c r="B574" s="134"/>
      <c r="C574" s="673">
        <v>9</v>
      </c>
      <c r="D574" s="817"/>
      <c r="E574" s="689"/>
      <c r="F574" s="759"/>
      <c r="G574" s="786"/>
      <c r="H574" s="790">
        <v>0.02</v>
      </c>
      <c r="I574" s="770" t="s">
        <v>925</v>
      </c>
      <c r="J574" s="788">
        <v>0.5</v>
      </c>
      <c r="K574" s="770" t="s">
        <v>926</v>
      </c>
      <c r="L574" s="770" t="s">
        <v>927</v>
      </c>
      <c r="M574" s="722" t="str">
        <f>CONCATENATE(U574,$U$1,U575)</f>
        <v>% de sedes de la Agencia con matriz de identificación de peligros actualizada% de sedes de la Agencia programados</v>
      </c>
      <c r="N574" s="773" t="s">
        <v>928</v>
      </c>
      <c r="O574" s="773" t="s">
        <v>519</v>
      </c>
      <c r="P574" s="789">
        <v>0</v>
      </c>
      <c r="Q574" s="773" t="s">
        <v>90</v>
      </c>
      <c r="R574" s="789">
        <v>1</v>
      </c>
      <c r="S574" s="789">
        <v>0.75</v>
      </c>
      <c r="T574" s="764" t="s">
        <v>91</v>
      </c>
      <c r="U574" s="164" t="s">
        <v>929</v>
      </c>
      <c r="V574" s="352"/>
      <c r="W574" s="352"/>
      <c r="X574" s="352"/>
      <c r="Y574" s="352"/>
      <c r="Z574" s="322"/>
      <c r="AA574" s="322"/>
      <c r="AB574" s="322"/>
      <c r="AC574" s="322"/>
      <c r="AD574" s="409"/>
      <c r="AE574" s="410"/>
      <c r="AF574" s="410"/>
      <c r="AG574" s="410"/>
      <c r="AH574" s="716" t="s">
        <v>921</v>
      </c>
      <c r="AI574" s="716" t="s">
        <v>921</v>
      </c>
      <c r="AJ574" s="716" t="s">
        <v>94</v>
      </c>
      <c r="AK574" s="716"/>
      <c r="AL574" s="716"/>
      <c r="AM574" s="735"/>
      <c r="AN574" s="716" t="s">
        <v>94</v>
      </c>
      <c r="AO574" s="716"/>
      <c r="AP574" s="716"/>
      <c r="AQ574" s="716" t="s">
        <v>94</v>
      </c>
      <c r="AR574" s="716"/>
      <c r="AS574" s="716"/>
      <c r="AT574" s="190"/>
      <c r="AU574" s="203"/>
      <c r="AV574" s="203"/>
      <c r="AW574" s="203"/>
      <c r="AX574" s="203"/>
      <c r="AY574" s="203"/>
      <c r="AZ574" s="203"/>
      <c r="BA574" s="203"/>
      <c r="BB574" s="267"/>
      <c r="BC574" s="579"/>
      <c r="BD574" s="609"/>
      <c r="BE574" s="117"/>
      <c r="BF574" s="118"/>
    </row>
    <row r="575" spans="1:58" s="120" customFormat="1" ht="24.95" customHeight="1" x14ac:dyDescent="0.25">
      <c r="A575" s="668"/>
      <c r="B575" s="134"/>
      <c r="C575" s="673"/>
      <c r="D575" s="817"/>
      <c r="E575" s="689"/>
      <c r="F575" s="759"/>
      <c r="G575" s="786"/>
      <c r="H575" s="791"/>
      <c r="I575" s="771"/>
      <c r="J575" s="771"/>
      <c r="K575" s="771"/>
      <c r="L575" s="771"/>
      <c r="M575" s="723"/>
      <c r="N575" s="774"/>
      <c r="O575" s="774"/>
      <c r="P575" s="774"/>
      <c r="Q575" s="774"/>
      <c r="R575" s="774"/>
      <c r="S575" s="774"/>
      <c r="T575" s="765"/>
      <c r="U575" s="224" t="s">
        <v>930</v>
      </c>
      <c r="V575" s="411">
        <v>1E-4</v>
      </c>
      <c r="W575" s="411">
        <v>1E-4</v>
      </c>
      <c r="X575" s="411">
        <v>1E-4</v>
      </c>
      <c r="Y575" s="228">
        <v>0.75</v>
      </c>
      <c r="Z575" s="228"/>
      <c r="AA575" s="228"/>
      <c r="AB575" s="228"/>
      <c r="AC575" s="228">
        <v>0.75</v>
      </c>
      <c r="AD575" s="412">
        <v>0</v>
      </c>
      <c r="AE575" s="413">
        <v>0</v>
      </c>
      <c r="AF575" s="413">
        <v>0</v>
      </c>
      <c r="AG575" s="413">
        <v>0</v>
      </c>
      <c r="AH575" s="717"/>
      <c r="AI575" s="717"/>
      <c r="AJ575" s="717"/>
      <c r="AK575" s="717"/>
      <c r="AL575" s="717"/>
      <c r="AM575" s="735"/>
      <c r="AN575" s="717"/>
      <c r="AO575" s="717"/>
      <c r="AP575" s="717"/>
      <c r="AQ575" s="717"/>
      <c r="AR575" s="717"/>
      <c r="AS575" s="717"/>
      <c r="AT575" s="190"/>
      <c r="AU575" s="203"/>
      <c r="AV575" s="203"/>
      <c r="AW575" s="203"/>
      <c r="AX575" s="203"/>
      <c r="AY575" s="203"/>
      <c r="AZ575" s="203"/>
      <c r="BA575" s="203"/>
      <c r="BB575" s="267"/>
      <c r="BC575" s="579"/>
      <c r="BD575" s="609"/>
      <c r="BE575" s="117"/>
      <c r="BF575" s="118"/>
    </row>
    <row r="576" spans="1:58" s="120" customFormat="1" ht="24.95" customHeight="1" x14ac:dyDescent="0.25">
      <c r="A576" s="668"/>
      <c r="B576" s="134"/>
      <c r="C576" s="673"/>
      <c r="D576" s="817"/>
      <c r="E576" s="689"/>
      <c r="F576" s="759"/>
      <c r="G576" s="786"/>
      <c r="H576" s="791"/>
      <c r="I576" s="771"/>
      <c r="J576" s="772"/>
      <c r="K576" s="772"/>
      <c r="L576" s="772"/>
      <c r="M576" s="724"/>
      <c r="N576" s="775"/>
      <c r="O576" s="775"/>
      <c r="P576" s="775"/>
      <c r="Q576" s="775"/>
      <c r="R576" s="775"/>
      <c r="S576" s="775"/>
      <c r="T576" s="766"/>
      <c r="U576" s="172" t="s">
        <v>96</v>
      </c>
      <c r="V576" s="197">
        <f>IF((V574/V575)&lt;$I$8,(V574/V575),IF((V574/V575)&lt;$J$8,(V574/V575),IF((V574/V575)&lt;$J$9,(V574/V575),IF((V574/V575)&gt;=$J$9,$J$9))))</f>
        <v>0</v>
      </c>
      <c r="W576" s="197">
        <f>IF((W574/W575)&lt;$I$8,(W574/W575),IF((W574/W575)&lt;$J$8,(W574/W575),IF((W574/W575)&lt;$J$9,(W574/W575),IF((W574/W575)&gt;=$J$9,$J$9))))</f>
        <v>0</v>
      </c>
      <c r="X576" s="197">
        <f>IF((X574/X575)&lt;$I$8,(X574/X575),IF((X574/X575)&lt;$J$8,(X574/X575),IF((X574/X575)&lt;$J$9,(X574/X575),IF((X574/X575)&gt;=$J$9,$J$9))))</f>
        <v>0</v>
      </c>
      <c r="Y576" s="196">
        <v>0</v>
      </c>
      <c r="Z576" s="196">
        <v>0</v>
      </c>
      <c r="AA576" s="196">
        <v>0</v>
      </c>
      <c r="AB576" s="196">
        <v>0</v>
      </c>
      <c r="AC576" s="196">
        <f t="shared" ref="AC576" si="460">IF((AC574/AC575)&lt;$I$8,(AC574/AC575),IF((AC574/AC575)&lt;$J$8,(AC574/AC575),IF((AC574/AC575)&lt;$J$9,(AC574/AC575),IF((AC574/AC575)&gt;=$J$9,$J$9))))</f>
        <v>0</v>
      </c>
      <c r="AD576" s="414"/>
      <c r="AE576" s="415"/>
      <c r="AF576" s="415"/>
      <c r="AG576" s="415"/>
      <c r="AH576" s="717"/>
      <c r="AI576" s="717"/>
      <c r="AJ576" s="717"/>
      <c r="AK576" s="717"/>
      <c r="AL576" s="717"/>
      <c r="AM576" s="735"/>
      <c r="AN576" s="717"/>
      <c r="AO576" s="717"/>
      <c r="AP576" s="717"/>
      <c r="AQ576" s="717"/>
      <c r="AR576" s="717"/>
      <c r="AS576" s="717"/>
      <c r="AT576" s="190"/>
      <c r="AU576" s="203"/>
      <c r="AV576" s="203"/>
      <c r="AW576" s="203"/>
      <c r="AX576" s="203"/>
      <c r="AY576" s="203"/>
      <c r="AZ576" s="203"/>
      <c r="BA576" s="203"/>
      <c r="BB576" s="267"/>
      <c r="BC576" s="579"/>
      <c r="BD576" s="609"/>
      <c r="BE576" s="117"/>
      <c r="BF576" s="118"/>
    </row>
    <row r="577" spans="1:58" s="120" customFormat="1" ht="24.95" customHeight="1" x14ac:dyDescent="0.25">
      <c r="A577" s="668" t="s">
        <v>230</v>
      </c>
      <c r="B577" s="134"/>
      <c r="C577" s="673">
        <v>10</v>
      </c>
      <c r="D577" s="817"/>
      <c r="E577" s="689"/>
      <c r="F577" s="759"/>
      <c r="G577" s="786"/>
      <c r="H577" s="791"/>
      <c r="I577" s="771"/>
      <c r="J577" s="788">
        <v>0.5</v>
      </c>
      <c r="K577" s="770" t="s">
        <v>931</v>
      </c>
      <c r="L577" s="770" t="s">
        <v>932</v>
      </c>
      <c r="M577" s="722" t="str">
        <f>CONCATENATE(U577,$U$1,U578)</f>
        <v>% de riesgos significativos con plan de acción% de riesgos significativos identificados para elaborar palan de acción</v>
      </c>
      <c r="N577" s="773" t="s">
        <v>928</v>
      </c>
      <c r="O577" s="773" t="s">
        <v>519</v>
      </c>
      <c r="P577" s="789">
        <v>0</v>
      </c>
      <c r="Q577" s="773" t="s">
        <v>90</v>
      </c>
      <c r="R577" s="789">
        <v>1</v>
      </c>
      <c r="S577" s="789">
        <v>0.6</v>
      </c>
      <c r="T577" s="764" t="s">
        <v>91</v>
      </c>
      <c r="U577" s="164" t="s">
        <v>933</v>
      </c>
      <c r="V577" s="352"/>
      <c r="W577" s="352"/>
      <c r="X577" s="352"/>
      <c r="Y577" s="352"/>
      <c r="Z577" s="322"/>
      <c r="AA577" s="322"/>
      <c r="AB577" s="322"/>
      <c r="AC577" s="322"/>
      <c r="AD577" s="409"/>
      <c r="AE577" s="410"/>
      <c r="AF577" s="410"/>
      <c r="AG577" s="410"/>
      <c r="AH577" s="716" t="s">
        <v>921</v>
      </c>
      <c r="AI577" s="716" t="s">
        <v>921</v>
      </c>
      <c r="AJ577" s="716" t="s">
        <v>94</v>
      </c>
      <c r="AK577" s="716"/>
      <c r="AL577" s="716"/>
      <c r="AM577" s="735"/>
      <c r="AN577" s="735" t="s">
        <v>94</v>
      </c>
      <c r="AO577" s="735"/>
      <c r="AP577" s="735"/>
      <c r="AQ577" s="735"/>
      <c r="AR577" s="735"/>
      <c r="AS577" s="735" t="s">
        <v>94</v>
      </c>
      <c r="AT577" s="190"/>
      <c r="AU577" s="203"/>
      <c r="AV577" s="203"/>
      <c r="AW577" s="203"/>
      <c r="AX577" s="203"/>
      <c r="AY577" s="203"/>
      <c r="AZ577" s="203"/>
      <c r="BA577" s="203"/>
      <c r="BB577" s="267"/>
      <c r="BC577" s="579"/>
      <c r="BD577" s="609"/>
      <c r="BE577" s="117"/>
      <c r="BF577" s="118"/>
    </row>
    <row r="578" spans="1:58" s="120" customFormat="1" ht="24.95" customHeight="1" x14ac:dyDescent="0.25">
      <c r="A578" s="668"/>
      <c r="B578" s="134"/>
      <c r="C578" s="673"/>
      <c r="D578" s="817"/>
      <c r="E578" s="689"/>
      <c r="F578" s="759"/>
      <c r="G578" s="786"/>
      <c r="H578" s="791"/>
      <c r="I578" s="771"/>
      <c r="J578" s="771"/>
      <c r="K578" s="771"/>
      <c r="L578" s="771"/>
      <c r="M578" s="723"/>
      <c r="N578" s="774"/>
      <c r="O578" s="774"/>
      <c r="P578" s="774"/>
      <c r="Q578" s="774"/>
      <c r="R578" s="774"/>
      <c r="S578" s="774"/>
      <c r="T578" s="765"/>
      <c r="U578" s="224" t="s">
        <v>934</v>
      </c>
      <c r="V578" s="411">
        <v>1E-4</v>
      </c>
      <c r="W578" s="411">
        <v>1E-4</v>
      </c>
      <c r="X578" s="411">
        <v>1E-4</v>
      </c>
      <c r="Y578" s="228"/>
      <c r="Z578" s="228"/>
      <c r="AA578" s="228"/>
      <c r="AB578" s="228"/>
      <c r="AC578" s="228">
        <v>0.9</v>
      </c>
      <c r="AD578" s="412">
        <v>0</v>
      </c>
      <c r="AE578" s="413">
        <v>0</v>
      </c>
      <c r="AF578" s="413">
        <v>0</v>
      </c>
      <c r="AG578" s="413">
        <v>0</v>
      </c>
      <c r="AH578" s="717"/>
      <c r="AI578" s="717"/>
      <c r="AJ578" s="717"/>
      <c r="AK578" s="717"/>
      <c r="AL578" s="717"/>
      <c r="AM578" s="735"/>
      <c r="AN578" s="735"/>
      <c r="AO578" s="735"/>
      <c r="AP578" s="735"/>
      <c r="AQ578" s="735"/>
      <c r="AR578" s="735"/>
      <c r="AS578" s="735"/>
      <c r="AT578" s="190"/>
      <c r="AU578" s="203"/>
      <c r="AV578" s="203"/>
      <c r="AW578" s="203"/>
      <c r="AX578" s="203"/>
      <c r="AY578" s="203"/>
      <c r="AZ578" s="203"/>
      <c r="BA578" s="203"/>
      <c r="BB578" s="267"/>
      <c r="BC578" s="579"/>
      <c r="BD578" s="609"/>
      <c r="BE578" s="117"/>
      <c r="BF578" s="118"/>
    </row>
    <row r="579" spans="1:58" s="120" customFormat="1" ht="24.95" customHeight="1" x14ac:dyDescent="0.25">
      <c r="A579" s="668"/>
      <c r="B579" s="134"/>
      <c r="C579" s="673"/>
      <c r="D579" s="817"/>
      <c r="E579" s="689"/>
      <c r="F579" s="759"/>
      <c r="G579" s="786"/>
      <c r="H579" s="792"/>
      <c r="I579" s="772"/>
      <c r="J579" s="772"/>
      <c r="K579" s="772"/>
      <c r="L579" s="772"/>
      <c r="M579" s="724"/>
      <c r="N579" s="775"/>
      <c r="O579" s="775"/>
      <c r="P579" s="775"/>
      <c r="Q579" s="775"/>
      <c r="R579" s="775"/>
      <c r="S579" s="775"/>
      <c r="T579" s="766"/>
      <c r="U579" s="172" t="s">
        <v>96</v>
      </c>
      <c r="V579" s="197">
        <f>IF((V577/V578)&lt;$I$8,(V577/V578),IF((V577/V578)&lt;$J$8,(V577/V578),IF((V577/V578)&lt;$J$9,(V577/V578),IF((V577/V578)&gt;=$J$9,$J$9))))</f>
        <v>0</v>
      </c>
      <c r="W579" s="197">
        <f>IF((W577/W578)&lt;$I$8,(W577/W578),IF((W577/W578)&lt;$J$8,(W577/W578),IF((W577/W578)&lt;$J$9,(W577/W578),IF((W577/W578)&gt;=$J$9,$J$9))))</f>
        <v>0</v>
      </c>
      <c r="X579" s="197">
        <f>IF((X577/X578)&lt;$I$8,(X577/X578),IF((X577/X578)&lt;$J$8,(X577/X578),IF((X577/X578)&lt;$J$9,(X577/X578),IF((X577/X578)&gt;=$J$9,$J$9))))</f>
        <v>0</v>
      </c>
      <c r="Y579" s="416">
        <v>0</v>
      </c>
      <c r="Z579" s="196">
        <v>0</v>
      </c>
      <c r="AA579" s="196">
        <v>0</v>
      </c>
      <c r="AB579" s="196">
        <v>0</v>
      </c>
      <c r="AC579" s="196"/>
      <c r="AD579" s="414"/>
      <c r="AE579" s="415"/>
      <c r="AF579" s="415"/>
      <c r="AG579" s="415"/>
      <c r="AH579" s="717"/>
      <c r="AI579" s="717"/>
      <c r="AJ579" s="717"/>
      <c r="AK579" s="717"/>
      <c r="AL579" s="717"/>
      <c r="AM579" s="735"/>
      <c r="AN579" s="735"/>
      <c r="AO579" s="735"/>
      <c r="AP579" s="735"/>
      <c r="AQ579" s="735"/>
      <c r="AR579" s="735"/>
      <c r="AS579" s="735"/>
      <c r="AT579" s="190"/>
      <c r="AU579" s="203"/>
      <c r="AV579" s="203"/>
      <c r="AW579" s="203"/>
      <c r="AX579" s="203"/>
      <c r="AY579" s="203"/>
      <c r="AZ579" s="203"/>
      <c r="BA579" s="203"/>
      <c r="BB579" s="267"/>
      <c r="BC579" s="579"/>
      <c r="BD579" s="609"/>
      <c r="BE579" s="117"/>
      <c r="BF579" s="118"/>
    </row>
    <row r="580" spans="1:58" s="120" customFormat="1" ht="35.1" customHeight="1" x14ac:dyDescent="0.25">
      <c r="A580" s="675"/>
      <c r="B580" s="664"/>
      <c r="C580" s="665">
        <v>11</v>
      </c>
      <c r="D580" s="817"/>
      <c r="E580" s="689"/>
      <c r="F580" s="759"/>
      <c r="G580" s="786"/>
      <c r="H580" s="776">
        <v>0.15</v>
      </c>
      <c r="I580" s="549" t="s">
        <v>935</v>
      </c>
      <c r="J580" s="758">
        <v>1</v>
      </c>
      <c r="K580" s="770" t="s">
        <v>936</v>
      </c>
      <c r="L580" s="770" t="s">
        <v>937</v>
      </c>
      <c r="M580" s="722" t="str">
        <f>CONCATENATE(U580,$U$2,U581)</f>
        <v>% de satisfacción de los funcionarios con respecto a las actividades del programa institucional de capacitación% de satisfacción esperada de los funcionarios con respecto a las actividades del programa institucional de capacitación</v>
      </c>
      <c r="N580" s="773" t="s">
        <v>918</v>
      </c>
      <c r="O580" s="797" t="s">
        <v>919</v>
      </c>
      <c r="P580" s="776">
        <v>0.15</v>
      </c>
      <c r="Q580" s="761">
        <v>0.88</v>
      </c>
      <c r="R580" s="761">
        <v>0.95</v>
      </c>
      <c r="S580" s="761">
        <v>0.9</v>
      </c>
      <c r="T580" s="764" t="s">
        <v>151</v>
      </c>
      <c r="U580" s="164" t="s">
        <v>938</v>
      </c>
      <c r="V580" s="352"/>
      <c r="W580" s="352"/>
      <c r="X580" s="352"/>
      <c r="Y580" s="352"/>
      <c r="Z580" s="322"/>
      <c r="AA580" s="322"/>
      <c r="AB580" s="322"/>
      <c r="AC580" s="322"/>
      <c r="AD580" s="767">
        <f>+AE580+AF580+AG580</f>
        <v>75000000</v>
      </c>
      <c r="AE580" s="755">
        <v>75000000</v>
      </c>
      <c r="AF580" s="755">
        <v>0</v>
      </c>
      <c r="AG580" s="755">
        <v>0</v>
      </c>
      <c r="AH580" s="716" t="s">
        <v>921</v>
      </c>
      <c r="AI580" s="716" t="s">
        <v>921</v>
      </c>
      <c r="AJ580" s="735" t="s">
        <v>94</v>
      </c>
      <c r="AK580" s="735"/>
      <c r="AL580" s="716" t="s">
        <v>94</v>
      </c>
      <c r="AM580" s="735"/>
      <c r="AN580" s="716"/>
      <c r="AO580" s="716"/>
      <c r="AP580" s="716" t="s">
        <v>94</v>
      </c>
      <c r="AQ580" s="716"/>
      <c r="AR580" s="716"/>
      <c r="AS580" s="716" t="s">
        <v>94</v>
      </c>
      <c r="AT580" s="190" t="s">
        <v>129</v>
      </c>
      <c r="AU580" s="203">
        <f t="shared" ref="AU580:BB580" si="461">+V582*$J$580</f>
        <v>0</v>
      </c>
      <c r="AV580" s="203">
        <f t="shared" si="461"/>
        <v>0</v>
      </c>
      <c r="AW580" s="203">
        <f t="shared" si="461"/>
        <v>0</v>
      </c>
      <c r="AX580" s="203">
        <f t="shared" si="461"/>
        <v>0</v>
      </c>
      <c r="AY580" s="203">
        <f t="shared" si="461"/>
        <v>0</v>
      </c>
      <c r="AZ580" s="203">
        <f t="shared" si="461"/>
        <v>0</v>
      </c>
      <c r="BA580" s="203">
        <f t="shared" si="461"/>
        <v>0</v>
      </c>
      <c r="BB580" s="267">
        <f t="shared" si="461"/>
        <v>0</v>
      </c>
      <c r="BC580" s="579"/>
      <c r="BD580" s="609"/>
      <c r="BE580" s="117"/>
      <c r="BF580" s="118"/>
    </row>
    <row r="581" spans="1:58" s="120" customFormat="1" ht="35.1" customHeight="1" x14ac:dyDescent="0.25">
      <c r="A581" s="675"/>
      <c r="B581" s="664"/>
      <c r="C581" s="665"/>
      <c r="D581" s="817"/>
      <c r="E581" s="689"/>
      <c r="F581" s="759"/>
      <c r="G581" s="786"/>
      <c r="H581" s="777"/>
      <c r="I581" s="550"/>
      <c r="J581" s="759"/>
      <c r="K581" s="771"/>
      <c r="L581" s="771"/>
      <c r="M581" s="723"/>
      <c r="N581" s="774"/>
      <c r="O581" s="798"/>
      <c r="P581" s="777"/>
      <c r="Q581" s="762"/>
      <c r="R581" s="762"/>
      <c r="S581" s="762"/>
      <c r="T581" s="765"/>
      <c r="U581" s="224" t="s">
        <v>939</v>
      </c>
      <c r="V581" s="228">
        <v>0.9</v>
      </c>
      <c r="W581" s="228">
        <v>0.9</v>
      </c>
      <c r="X581" s="228">
        <v>0.9</v>
      </c>
      <c r="Y581" s="228">
        <v>0.9</v>
      </c>
      <c r="Z581" s="228">
        <v>0.9</v>
      </c>
      <c r="AA581" s="228">
        <v>0.9</v>
      </c>
      <c r="AB581" s="228">
        <v>0.9</v>
      </c>
      <c r="AC581" s="228">
        <v>0.9</v>
      </c>
      <c r="AD581" s="768"/>
      <c r="AE581" s="756"/>
      <c r="AF581" s="756"/>
      <c r="AG581" s="756"/>
      <c r="AH581" s="717"/>
      <c r="AI581" s="717"/>
      <c r="AJ581" s="735"/>
      <c r="AK581" s="735"/>
      <c r="AL581" s="717"/>
      <c r="AM581" s="735"/>
      <c r="AN581" s="717"/>
      <c r="AO581" s="717"/>
      <c r="AP581" s="717"/>
      <c r="AQ581" s="717"/>
      <c r="AR581" s="717"/>
      <c r="AS581" s="717"/>
      <c r="AT581" s="190" t="s">
        <v>131</v>
      </c>
      <c r="AU581" s="203">
        <f>+AU580*$H$580</f>
        <v>0</v>
      </c>
      <c r="AV581" s="203">
        <f t="shared" ref="AV581:BB581" si="462">+AV580*$H$580</f>
        <v>0</v>
      </c>
      <c r="AW581" s="203">
        <f t="shared" si="462"/>
        <v>0</v>
      </c>
      <c r="AX581" s="203">
        <f t="shared" si="462"/>
        <v>0</v>
      </c>
      <c r="AY581" s="203">
        <f t="shared" si="462"/>
        <v>0</v>
      </c>
      <c r="AZ581" s="203">
        <f t="shared" si="462"/>
        <v>0</v>
      </c>
      <c r="BA581" s="203">
        <f t="shared" si="462"/>
        <v>0</v>
      </c>
      <c r="BB581" s="203">
        <f t="shared" si="462"/>
        <v>0</v>
      </c>
      <c r="BC581" s="579"/>
      <c r="BD581" s="609"/>
      <c r="BE581" s="117"/>
      <c r="BF581" s="118"/>
    </row>
    <row r="582" spans="1:58" s="120" customFormat="1" ht="24.95" customHeight="1" x14ac:dyDescent="0.25">
      <c r="A582" s="675"/>
      <c r="B582" s="664"/>
      <c r="C582" s="665"/>
      <c r="D582" s="817"/>
      <c r="E582" s="689"/>
      <c r="F582" s="759"/>
      <c r="G582" s="786"/>
      <c r="H582" s="777"/>
      <c r="I582" s="551"/>
      <c r="J582" s="760"/>
      <c r="K582" s="772"/>
      <c r="L582" s="772"/>
      <c r="M582" s="724"/>
      <c r="N582" s="775"/>
      <c r="O582" s="799"/>
      <c r="P582" s="778"/>
      <c r="Q582" s="763"/>
      <c r="R582" s="763"/>
      <c r="S582" s="763"/>
      <c r="T582" s="766"/>
      <c r="U582" s="172" t="s">
        <v>96</v>
      </c>
      <c r="V582" s="196">
        <f t="shared" ref="V582:AC582" si="463">IF((V580/V581)&lt;$I$8,(V580/V581),IF((V580/V581)&lt;$J$8,(V580/V581),IF((V580/V581)&lt;$J$9,(V580/V581),IF((V580/V581)&gt;=$J$9,$J$9))))</f>
        <v>0</v>
      </c>
      <c r="W582" s="196">
        <f t="shared" si="463"/>
        <v>0</v>
      </c>
      <c r="X582" s="196">
        <f t="shared" si="463"/>
        <v>0</v>
      </c>
      <c r="Y582" s="196">
        <f t="shared" si="463"/>
        <v>0</v>
      </c>
      <c r="Z582" s="196">
        <f t="shared" si="463"/>
        <v>0</v>
      </c>
      <c r="AA582" s="196">
        <f t="shared" si="463"/>
        <v>0</v>
      </c>
      <c r="AB582" s="196">
        <f t="shared" si="463"/>
        <v>0</v>
      </c>
      <c r="AC582" s="196">
        <f t="shared" si="463"/>
        <v>0</v>
      </c>
      <c r="AD582" s="769"/>
      <c r="AE582" s="757"/>
      <c r="AF582" s="757"/>
      <c r="AG582" s="757"/>
      <c r="AH582" s="718"/>
      <c r="AI582" s="718"/>
      <c r="AJ582" s="735"/>
      <c r="AK582" s="735"/>
      <c r="AL582" s="718"/>
      <c r="AM582" s="735"/>
      <c r="AN582" s="718"/>
      <c r="AO582" s="718"/>
      <c r="AP582" s="718"/>
      <c r="AQ582" s="718"/>
      <c r="AR582" s="718"/>
      <c r="AS582" s="718"/>
      <c r="AT582" s="190" t="s">
        <v>132</v>
      </c>
      <c r="AU582" s="575"/>
      <c r="AV582" s="576"/>
      <c r="AW582" s="576"/>
      <c r="AX582" s="576"/>
      <c r="AY582" s="576"/>
      <c r="AZ582" s="576"/>
      <c r="BA582" s="576"/>
      <c r="BB582" s="577"/>
      <c r="BC582" s="579"/>
      <c r="BD582" s="609"/>
      <c r="BE582" s="117"/>
      <c r="BF582" s="118"/>
    </row>
    <row r="583" spans="1:58" s="120" customFormat="1" ht="35.1" customHeight="1" x14ac:dyDescent="0.25">
      <c r="A583" s="675"/>
      <c r="B583" s="664"/>
      <c r="C583" s="673">
        <v>12</v>
      </c>
      <c r="D583" s="817"/>
      <c r="E583" s="689"/>
      <c r="F583" s="759"/>
      <c r="G583" s="786"/>
      <c r="H583" s="776">
        <v>0.05</v>
      </c>
      <c r="I583" s="549" t="s">
        <v>940</v>
      </c>
      <c r="J583" s="758">
        <v>1</v>
      </c>
      <c r="K583" s="770" t="s">
        <v>941</v>
      </c>
      <c r="L583" s="770" t="s">
        <v>942</v>
      </c>
      <c r="M583" s="722" t="str">
        <f>CONCATENATE(U583,$U$2,U584)</f>
        <v>% de incremento en el cumplimiento obtenido en cada periodo medido de 2018% cumplimiento faltante para llegar a meta de la vigencia, que es 80 puntos</v>
      </c>
      <c r="N583" s="773" t="s">
        <v>943</v>
      </c>
      <c r="O583" s="797" t="s">
        <v>944</v>
      </c>
      <c r="P583" s="776">
        <v>0.15</v>
      </c>
      <c r="Q583" s="761">
        <v>0.49</v>
      </c>
      <c r="R583" s="761">
        <v>0.95</v>
      </c>
      <c r="S583" s="761">
        <v>0.31</v>
      </c>
      <c r="T583" s="764" t="s">
        <v>91</v>
      </c>
      <c r="U583" s="417" t="s">
        <v>945</v>
      </c>
      <c r="V583" s="352"/>
      <c r="W583" s="346"/>
      <c r="X583" s="352"/>
      <c r="Y583" s="352"/>
      <c r="Z583" s="322"/>
      <c r="AA583" s="322"/>
      <c r="AB583" s="322"/>
      <c r="AC583" s="322"/>
      <c r="AD583" s="767">
        <f>+AE583+AF583+AG583</f>
        <v>105000000</v>
      </c>
      <c r="AE583" s="755">
        <v>105000000</v>
      </c>
      <c r="AF583" s="755">
        <v>0</v>
      </c>
      <c r="AG583" s="755">
        <v>0</v>
      </c>
      <c r="AH583" s="716" t="s">
        <v>921</v>
      </c>
      <c r="AI583" s="716" t="s">
        <v>921</v>
      </c>
      <c r="AJ583" s="735" t="s">
        <v>94</v>
      </c>
      <c r="AK583" s="735"/>
      <c r="AL583" s="716" t="s">
        <v>94</v>
      </c>
      <c r="AM583" s="735"/>
      <c r="AN583" s="716"/>
      <c r="AO583" s="716"/>
      <c r="AP583" s="716" t="s">
        <v>94</v>
      </c>
      <c r="AQ583" s="716"/>
      <c r="AR583" s="716"/>
      <c r="AS583" s="716" t="s">
        <v>94</v>
      </c>
      <c r="AT583" s="190" t="s">
        <v>129</v>
      </c>
      <c r="AU583" s="195">
        <f t="shared" ref="AU583:BB583" si="464">+V585*$J$583</f>
        <v>0</v>
      </c>
      <c r="AV583" s="203">
        <f t="shared" si="464"/>
        <v>0</v>
      </c>
      <c r="AW583" s="203">
        <f t="shared" si="464"/>
        <v>0</v>
      </c>
      <c r="AX583" s="203">
        <f t="shared" si="464"/>
        <v>0</v>
      </c>
      <c r="AY583" s="195">
        <f t="shared" si="464"/>
        <v>0</v>
      </c>
      <c r="AZ583" s="203">
        <f t="shared" si="464"/>
        <v>0</v>
      </c>
      <c r="BA583" s="203">
        <f t="shared" si="464"/>
        <v>0</v>
      </c>
      <c r="BB583" s="203">
        <f t="shared" si="464"/>
        <v>0</v>
      </c>
      <c r="BC583" s="579"/>
      <c r="BD583" s="609"/>
      <c r="BE583" s="117"/>
      <c r="BF583" s="118"/>
    </row>
    <row r="584" spans="1:58" s="120" customFormat="1" ht="35.1" customHeight="1" x14ac:dyDescent="0.25">
      <c r="A584" s="675"/>
      <c r="B584" s="664"/>
      <c r="C584" s="673"/>
      <c r="D584" s="817"/>
      <c r="E584" s="689"/>
      <c r="F584" s="759"/>
      <c r="G584" s="786"/>
      <c r="H584" s="777"/>
      <c r="I584" s="550"/>
      <c r="J584" s="759"/>
      <c r="K584" s="771"/>
      <c r="L584" s="771"/>
      <c r="M584" s="723"/>
      <c r="N584" s="774"/>
      <c r="O584" s="798"/>
      <c r="P584" s="777"/>
      <c r="Q584" s="762"/>
      <c r="R584" s="762"/>
      <c r="S584" s="762"/>
      <c r="T584" s="765"/>
      <c r="U584" s="224" t="s">
        <v>946</v>
      </c>
      <c r="V584" s="411">
        <v>1E-4</v>
      </c>
      <c r="W584" s="411">
        <v>0.11</v>
      </c>
      <c r="X584" s="411">
        <v>1E-4</v>
      </c>
      <c r="Y584" s="228">
        <v>0.2</v>
      </c>
      <c r="Z584" s="418">
        <v>0.01</v>
      </c>
      <c r="AA584" s="228">
        <v>0.11</v>
      </c>
      <c r="AB584" s="418">
        <v>0.01</v>
      </c>
      <c r="AC584" s="228">
        <f>+W584+Y584</f>
        <v>0.31</v>
      </c>
      <c r="AD584" s="768"/>
      <c r="AE584" s="756"/>
      <c r="AF584" s="756"/>
      <c r="AG584" s="756"/>
      <c r="AH584" s="717"/>
      <c r="AI584" s="717"/>
      <c r="AJ584" s="735"/>
      <c r="AK584" s="735"/>
      <c r="AL584" s="717"/>
      <c r="AM584" s="735"/>
      <c r="AN584" s="717"/>
      <c r="AO584" s="717"/>
      <c r="AP584" s="717"/>
      <c r="AQ584" s="717"/>
      <c r="AR584" s="717"/>
      <c r="AS584" s="717"/>
      <c r="AT584" s="190" t="s">
        <v>131</v>
      </c>
      <c r="AU584" s="203">
        <f>+AU583*$H$583</f>
        <v>0</v>
      </c>
      <c r="AV584" s="203">
        <f t="shared" ref="AV584:BB584" si="465">+AV583*$H$583</f>
        <v>0</v>
      </c>
      <c r="AW584" s="203">
        <f t="shared" si="465"/>
        <v>0</v>
      </c>
      <c r="AX584" s="203">
        <f t="shared" si="465"/>
        <v>0</v>
      </c>
      <c r="AY584" s="203">
        <f t="shared" si="465"/>
        <v>0</v>
      </c>
      <c r="AZ584" s="203">
        <f t="shared" si="465"/>
        <v>0</v>
      </c>
      <c r="BA584" s="203">
        <f t="shared" si="465"/>
        <v>0</v>
      </c>
      <c r="BB584" s="203">
        <f t="shared" si="465"/>
        <v>0</v>
      </c>
      <c r="BC584" s="579"/>
      <c r="BD584" s="609"/>
      <c r="BE584" s="117"/>
      <c r="BF584" s="118"/>
    </row>
    <row r="585" spans="1:58" s="120" customFormat="1" ht="24.95" customHeight="1" x14ac:dyDescent="0.25">
      <c r="A585" s="675"/>
      <c r="B585" s="664"/>
      <c r="C585" s="673"/>
      <c r="D585" s="817"/>
      <c r="E585" s="689"/>
      <c r="F585" s="759"/>
      <c r="G585" s="786"/>
      <c r="H585" s="777"/>
      <c r="I585" s="551"/>
      <c r="J585" s="760"/>
      <c r="K585" s="772"/>
      <c r="L585" s="772"/>
      <c r="M585" s="724"/>
      <c r="N585" s="775"/>
      <c r="O585" s="799"/>
      <c r="P585" s="778"/>
      <c r="Q585" s="763"/>
      <c r="R585" s="763"/>
      <c r="S585" s="763"/>
      <c r="T585" s="766"/>
      <c r="U585" s="172" t="s">
        <v>96</v>
      </c>
      <c r="V585" s="197">
        <f>IF((V583/V584)&lt;$I$8,(V583/V584),IF((V583/V584)&lt;$J$8,(V583/V584),IF((V583/V584)&lt;$J$9,(V583/V584),IF((V583/V584)&gt;=$J$9,$J$9))))</f>
        <v>0</v>
      </c>
      <c r="W585" s="196">
        <f t="shared" ref="W585:AC585" si="466">IF((W583/W584)&lt;$I$8,(W583/W584),IF((W583/W584)&lt;$J$8,(W583/W584),IF((W583/W584)&lt;$J$9,(W583/W584),IF((W583/W584)&gt;=$J$9,$J$9))))</f>
        <v>0</v>
      </c>
      <c r="X585" s="197">
        <f>IF((X583/X584)&lt;$I$8,(X583/X584),IF((X583/X584)&lt;$J$8,(X583/X584),IF((X583/X584)&lt;$J$9,(X583/X584),IF((X583/X584)&gt;=$J$9,$J$9))))</f>
        <v>0</v>
      </c>
      <c r="Y585" s="196">
        <f t="shared" si="466"/>
        <v>0</v>
      </c>
      <c r="Z585" s="197">
        <f>IF((Z583/Z584)&lt;$I$8,(Z583/Z584),IF((Z583/Z584)&lt;$J$8,(Z583/Z584),IF((Z583/Z584)&lt;$J$9,(Z583/Z584),IF((Z583/Z584)&gt;=$J$9,$J$9))))</f>
        <v>0</v>
      </c>
      <c r="AA585" s="196">
        <f t="shared" si="466"/>
        <v>0</v>
      </c>
      <c r="AB585" s="197">
        <f>IF((AB583/AB584)&lt;$I$8,(AB583/AB584),IF((AB583/AB584)&lt;$J$8,(AB583/AB584),IF((AB583/AB584)&lt;$J$9,(AB583/AB584),IF((AB583/AB584)&gt;=$J$9,$J$9))))</f>
        <v>0</v>
      </c>
      <c r="AC585" s="196">
        <f t="shared" si="466"/>
        <v>0</v>
      </c>
      <c r="AD585" s="769"/>
      <c r="AE585" s="757"/>
      <c r="AF585" s="757"/>
      <c r="AG585" s="757"/>
      <c r="AH585" s="718"/>
      <c r="AI585" s="718"/>
      <c r="AJ585" s="735"/>
      <c r="AK585" s="735"/>
      <c r="AL585" s="718"/>
      <c r="AM585" s="735"/>
      <c r="AN585" s="718"/>
      <c r="AO585" s="718"/>
      <c r="AP585" s="718"/>
      <c r="AQ585" s="718"/>
      <c r="AR585" s="718"/>
      <c r="AS585" s="718"/>
      <c r="AT585" s="190" t="s">
        <v>132</v>
      </c>
      <c r="AU585" s="203"/>
      <c r="AV585" s="203"/>
      <c r="AW585" s="203"/>
      <c r="AX585" s="203"/>
      <c r="AY585" s="203"/>
      <c r="AZ585" s="203"/>
      <c r="BA585" s="203"/>
      <c r="BB585" s="203"/>
      <c r="BC585" s="579"/>
      <c r="BD585" s="609"/>
      <c r="BE585" s="117"/>
      <c r="BF585" s="118"/>
    </row>
    <row r="586" spans="1:58" s="120" customFormat="1" ht="24.95" customHeight="1" x14ac:dyDescent="0.25">
      <c r="A586" s="668" t="s">
        <v>230</v>
      </c>
      <c r="B586" s="134"/>
      <c r="C586" s="673">
        <v>13</v>
      </c>
      <c r="D586" s="817"/>
      <c r="E586" s="689"/>
      <c r="F586" s="759"/>
      <c r="G586" s="786"/>
      <c r="H586" s="790">
        <v>0.02</v>
      </c>
      <c r="I586" s="722" t="s">
        <v>947</v>
      </c>
      <c r="J586" s="788">
        <v>0.5</v>
      </c>
      <c r="K586" s="770" t="s">
        <v>948</v>
      </c>
      <c r="L586" s="770" t="s">
        <v>949</v>
      </c>
      <c r="M586" s="722" t="str">
        <f>CONCATENATE(U586,$U$1,U587)</f>
        <v xml:space="preserve">Nº de actividades ejecutadas para cumplir los requisitos legales Nº total de actividades planteadas para cumplir los requisitos legales </v>
      </c>
      <c r="N586" s="773" t="s">
        <v>950</v>
      </c>
      <c r="O586" s="773" t="s">
        <v>951</v>
      </c>
      <c r="P586" s="789">
        <v>0</v>
      </c>
      <c r="Q586" s="773" t="s">
        <v>90</v>
      </c>
      <c r="R586" s="761">
        <v>1</v>
      </c>
      <c r="S586" s="789">
        <v>0.8</v>
      </c>
      <c r="T586" s="764" t="s">
        <v>91</v>
      </c>
      <c r="U586" s="164" t="s">
        <v>952</v>
      </c>
      <c r="V586" s="352"/>
      <c r="W586" s="352"/>
      <c r="X586" s="352"/>
      <c r="Y586" s="352"/>
      <c r="Z586" s="322"/>
      <c r="AA586" s="322"/>
      <c r="AB586" s="322"/>
      <c r="AC586" s="322"/>
      <c r="AD586" s="409"/>
      <c r="AE586" s="410"/>
      <c r="AF586" s="410"/>
      <c r="AG586" s="410"/>
      <c r="AH586" s="716" t="s">
        <v>921</v>
      </c>
      <c r="AI586" s="716" t="s">
        <v>921</v>
      </c>
      <c r="AJ586" s="716" t="s">
        <v>94</v>
      </c>
      <c r="AK586" s="716"/>
      <c r="AL586" s="716"/>
      <c r="AM586" s="716"/>
      <c r="AN586" s="716" t="s">
        <v>94</v>
      </c>
      <c r="AO586" s="716"/>
      <c r="AP586" s="716"/>
      <c r="AQ586" s="716" t="s">
        <v>94</v>
      </c>
      <c r="AR586" s="716"/>
      <c r="AS586" s="716"/>
      <c r="AT586" s="190"/>
      <c r="AU586" s="203"/>
      <c r="AV586" s="203"/>
      <c r="AW586" s="203"/>
      <c r="AX586" s="203"/>
      <c r="AY586" s="203"/>
      <c r="AZ586" s="203"/>
      <c r="BA586" s="203"/>
      <c r="BB586" s="203"/>
      <c r="BC586" s="579"/>
      <c r="BD586" s="609"/>
      <c r="BE586" s="117"/>
      <c r="BF586" s="118"/>
    </row>
    <row r="587" spans="1:58" s="120" customFormat="1" ht="24.95" customHeight="1" x14ac:dyDescent="0.25">
      <c r="A587" s="668"/>
      <c r="B587" s="134"/>
      <c r="C587" s="673"/>
      <c r="D587" s="817"/>
      <c r="E587" s="689"/>
      <c r="F587" s="759"/>
      <c r="G587" s="786"/>
      <c r="H587" s="791"/>
      <c r="I587" s="723"/>
      <c r="J587" s="771"/>
      <c r="K587" s="771"/>
      <c r="L587" s="771"/>
      <c r="M587" s="723"/>
      <c r="N587" s="774"/>
      <c r="O587" s="774"/>
      <c r="P587" s="774"/>
      <c r="Q587" s="774"/>
      <c r="R587" s="762"/>
      <c r="S587" s="774"/>
      <c r="T587" s="765"/>
      <c r="U587" s="224" t="s">
        <v>953</v>
      </c>
      <c r="V587" s="228"/>
      <c r="W587" s="228"/>
      <c r="X587" s="228"/>
      <c r="Y587" s="228">
        <v>0.8</v>
      </c>
      <c r="Z587" s="228"/>
      <c r="AA587" s="228"/>
      <c r="AB587" s="228"/>
      <c r="AC587" s="228">
        <v>0.8</v>
      </c>
      <c r="AD587" s="412">
        <v>0</v>
      </c>
      <c r="AE587" s="413">
        <v>0</v>
      </c>
      <c r="AF587" s="413">
        <v>0</v>
      </c>
      <c r="AG587" s="413">
        <v>0</v>
      </c>
      <c r="AH587" s="717"/>
      <c r="AI587" s="717"/>
      <c r="AJ587" s="717"/>
      <c r="AK587" s="717"/>
      <c r="AL587" s="717"/>
      <c r="AM587" s="717"/>
      <c r="AN587" s="717"/>
      <c r="AO587" s="717"/>
      <c r="AP587" s="717"/>
      <c r="AQ587" s="717"/>
      <c r="AR587" s="717"/>
      <c r="AS587" s="717"/>
      <c r="AT587" s="190"/>
      <c r="AU587" s="203"/>
      <c r="AV587" s="203"/>
      <c r="AW587" s="203"/>
      <c r="AX587" s="203"/>
      <c r="AY587" s="203"/>
      <c r="AZ587" s="203"/>
      <c r="BA587" s="203"/>
      <c r="BB587" s="203"/>
      <c r="BC587" s="579"/>
      <c r="BD587" s="609"/>
      <c r="BE587" s="117"/>
      <c r="BF587" s="118"/>
    </row>
    <row r="588" spans="1:58" s="120" customFormat="1" ht="24.95" customHeight="1" x14ac:dyDescent="0.25">
      <c r="A588" s="668"/>
      <c r="B588" s="134"/>
      <c r="C588" s="673"/>
      <c r="D588" s="817"/>
      <c r="E588" s="689"/>
      <c r="F588" s="759"/>
      <c r="G588" s="786"/>
      <c r="H588" s="791"/>
      <c r="I588" s="723"/>
      <c r="J588" s="772"/>
      <c r="K588" s="772"/>
      <c r="L588" s="772"/>
      <c r="M588" s="724"/>
      <c r="N588" s="775"/>
      <c r="O588" s="775"/>
      <c r="P588" s="775"/>
      <c r="Q588" s="775"/>
      <c r="R588" s="763"/>
      <c r="S588" s="775"/>
      <c r="T588" s="766"/>
      <c r="U588" s="172" t="s">
        <v>96</v>
      </c>
      <c r="V588" s="196">
        <v>0</v>
      </c>
      <c r="W588" s="196">
        <v>0</v>
      </c>
      <c r="X588" s="196">
        <v>0</v>
      </c>
      <c r="Y588" s="196">
        <v>0</v>
      </c>
      <c r="Z588" s="196">
        <v>0</v>
      </c>
      <c r="AA588" s="196">
        <v>0</v>
      </c>
      <c r="AB588" s="196">
        <v>0</v>
      </c>
      <c r="AC588" s="196">
        <f t="shared" ref="AC588" si="467">IF((AC586/AC587)&lt;$I$8,(AC586/AC587),IF((AC586/AC587)&lt;$J$8,(AC586/AC587),IF((AC586/AC587)&lt;$J$9,(AC586/AC587),IF((AC586/AC587)&gt;=$J$9,$J$9))))</f>
        <v>0</v>
      </c>
      <c r="AD588" s="414"/>
      <c r="AE588" s="415"/>
      <c r="AF588" s="415"/>
      <c r="AG588" s="415"/>
      <c r="AH588" s="718"/>
      <c r="AI588" s="718"/>
      <c r="AJ588" s="717"/>
      <c r="AK588" s="717"/>
      <c r="AL588" s="717"/>
      <c r="AM588" s="717"/>
      <c r="AN588" s="717"/>
      <c r="AO588" s="717"/>
      <c r="AP588" s="717"/>
      <c r="AQ588" s="717"/>
      <c r="AR588" s="717"/>
      <c r="AS588" s="717"/>
      <c r="AT588" s="190"/>
      <c r="AU588" s="203"/>
      <c r="AV588" s="203"/>
      <c r="AW588" s="203"/>
      <c r="AX588" s="203"/>
      <c r="AY588" s="203"/>
      <c r="AZ588" s="203"/>
      <c r="BA588" s="203"/>
      <c r="BB588" s="203"/>
      <c r="BC588" s="579"/>
      <c r="BD588" s="609"/>
      <c r="BE588" s="117"/>
      <c r="BF588" s="118"/>
    </row>
    <row r="589" spans="1:58" s="120" customFormat="1" ht="24.95" customHeight="1" x14ac:dyDescent="0.25">
      <c r="A589" s="668" t="s">
        <v>230</v>
      </c>
      <c r="B589" s="134"/>
      <c r="C589" s="673">
        <v>14</v>
      </c>
      <c r="D589" s="817"/>
      <c r="E589" s="689"/>
      <c r="F589" s="759"/>
      <c r="G589" s="786"/>
      <c r="H589" s="791"/>
      <c r="I589" s="723"/>
      <c r="J589" s="788">
        <v>0.5</v>
      </c>
      <c r="K589" s="770" t="s">
        <v>954</v>
      </c>
      <c r="L589" s="770" t="s">
        <v>955</v>
      </c>
      <c r="M589" s="722" t="str">
        <f>CONCATENATE(U589,$U$1,U590)</f>
        <v>Nº de hallazgos significativos con plan de acción% de hallazgos significativos identificados y programados para elaborar plan de acción</v>
      </c>
      <c r="N589" s="773" t="s">
        <v>956</v>
      </c>
      <c r="O589" s="773" t="s">
        <v>951</v>
      </c>
      <c r="P589" s="789">
        <v>0</v>
      </c>
      <c r="Q589" s="773" t="s">
        <v>90</v>
      </c>
      <c r="R589" s="761">
        <v>1</v>
      </c>
      <c r="S589" s="789">
        <v>0.8</v>
      </c>
      <c r="T589" s="764" t="s">
        <v>91</v>
      </c>
      <c r="U589" s="164" t="s">
        <v>957</v>
      </c>
      <c r="V589" s="352"/>
      <c r="W589" s="352"/>
      <c r="X589" s="352"/>
      <c r="Y589" s="352"/>
      <c r="Z589" s="322"/>
      <c r="AA589" s="322"/>
      <c r="AB589" s="322"/>
      <c r="AC589" s="322"/>
      <c r="AD589" s="767">
        <v>0</v>
      </c>
      <c r="AE589" s="767">
        <v>0</v>
      </c>
      <c r="AF589" s="767">
        <v>0</v>
      </c>
      <c r="AG589" s="767">
        <v>0</v>
      </c>
      <c r="AH589" s="716" t="s">
        <v>921</v>
      </c>
      <c r="AI589" s="716" t="s">
        <v>921</v>
      </c>
      <c r="AJ589" s="716" t="s">
        <v>94</v>
      </c>
      <c r="AK589" s="716"/>
      <c r="AL589" s="716"/>
      <c r="AM589" s="716"/>
      <c r="AN589" s="735" t="s">
        <v>94</v>
      </c>
      <c r="AO589" s="735"/>
      <c r="AP589" s="735"/>
      <c r="AQ589" s="735"/>
      <c r="AR589" s="735"/>
      <c r="AS589" s="735" t="s">
        <v>94</v>
      </c>
      <c r="AT589" s="190"/>
      <c r="AU589" s="203"/>
      <c r="AV589" s="203"/>
      <c r="AW589" s="203"/>
      <c r="AX589" s="203"/>
      <c r="AY589" s="203"/>
      <c r="AZ589" s="203"/>
      <c r="BA589" s="203"/>
      <c r="BB589" s="203"/>
      <c r="BC589" s="579"/>
      <c r="BD589" s="609"/>
      <c r="BE589" s="117"/>
      <c r="BF589" s="118"/>
    </row>
    <row r="590" spans="1:58" s="120" customFormat="1" ht="24.95" customHeight="1" x14ac:dyDescent="0.25">
      <c r="A590" s="668"/>
      <c r="B590" s="134"/>
      <c r="C590" s="673"/>
      <c r="D590" s="817"/>
      <c r="E590" s="689"/>
      <c r="F590" s="759"/>
      <c r="G590" s="786"/>
      <c r="H590" s="791"/>
      <c r="I590" s="723"/>
      <c r="J590" s="771"/>
      <c r="K590" s="771"/>
      <c r="L590" s="771"/>
      <c r="M590" s="723"/>
      <c r="N590" s="774"/>
      <c r="O590" s="774"/>
      <c r="P590" s="774"/>
      <c r="Q590" s="774"/>
      <c r="R590" s="762"/>
      <c r="S590" s="774"/>
      <c r="T590" s="765"/>
      <c r="U590" s="224" t="s">
        <v>958</v>
      </c>
      <c r="V590" s="228"/>
      <c r="W590" s="228"/>
      <c r="X590" s="228"/>
      <c r="Y590" s="228">
        <v>0.8</v>
      </c>
      <c r="Z590" s="228"/>
      <c r="AA590" s="228"/>
      <c r="AB590" s="228"/>
      <c r="AC590" s="228">
        <v>0.8</v>
      </c>
      <c r="AD590" s="768"/>
      <c r="AE590" s="768"/>
      <c r="AF590" s="768"/>
      <c r="AG590" s="768"/>
      <c r="AH590" s="717"/>
      <c r="AI590" s="717"/>
      <c r="AJ590" s="717"/>
      <c r="AK590" s="717"/>
      <c r="AL590" s="717"/>
      <c r="AM590" s="717"/>
      <c r="AN590" s="735"/>
      <c r="AO590" s="735"/>
      <c r="AP590" s="735"/>
      <c r="AQ590" s="735"/>
      <c r="AR590" s="735"/>
      <c r="AS590" s="735"/>
      <c r="AT590" s="190"/>
      <c r="AU590" s="203"/>
      <c r="AV590" s="203"/>
      <c r="AW590" s="203"/>
      <c r="AX590" s="203"/>
      <c r="AY590" s="203"/>
      <c r="AZ590" s="203"/>
      <c r="BA590" s="203"/>
      <c r="BB590" s="203"/>
      <c r="BC590" s="579"/>
      <c r="BD590" s="609"/>
      <c r="BE590" s="117"/>
      <c r="BF590" s="118"/>
    </row>
    <row r="591" spans="1:58" s="120" customFormat="1" ht="24.95" customHeight="1" x14ac:dyDescent="0.25">
      <c r="A591" s="668"/>
      <c r="B591" s="134"/>
      <c r="C591" s="673"/>
      <c r="D591" s="817"/>
      <c r="E591" s="689"/>
      <c r="F591" s="759"/>
      <c r="G591" s="786"/>
      <c r="H591" s="792"/>
      <c r="I591" s="724"/>
      <c r="J591" s="772"/>
      <c r="K591" s="772"/>
      <c r="L591" s="772"/>
      <c r="M591" s="724"/>
      <c r="N591" s="775"/>
      <c r="O591" s="775"/>
      <c r="P591" s="775"/>
      <c r="Q591" s="775"/>
      <c r="R591" s="763"/>
      <c r="S591" s="775"/>
      <c r="T591" s="766"/>
      <c r="U591" s="172" t="s">
        <v>96</v>
      </c>
      <c r="V591" s="196">
        <v>0</v>
      </c>
      <c r="W591" s="196">
        <v>0</v>
      </c>
      <c r="X591" s="416">
        <v>0</v>
      </c>
      <c r="Y591" s="416">
        <v>0</v>
      </c>
      <c r="Z591" s="196">
        <v>0</v>
      </c>
      <c r="AA591" s="196">
        <v>0</v>
      </c>
      <c r="AB591" s="196">
        <v>0</v>
      </c>
      <c r="AC591" s="196">
        <v>0</v>
      </c>
      <c r="AD591" s="769"/>
      <c r="AE591" s="769"/>
      <c r="AF591" s="769"/>
      <c r="AG591" s="769"/>
      <c r="AH591" s="717"/>
      <c r="AI591" s="717"/>
      <c r="AJ591" s="717"/>
      <c r="AK591" s="717"/>
      <c r="AL591" s="717"/>
      <c r="AM591" s="717"/>
      <c r="AN591" s="735"/>
      <c r="AO591" s="735"/>
      <c r="AP591" s="735"/>
      <c r="AQ591" s="735"/>
      <c r="AR591" s="735"/>
      <c r="AS591" s="735"/>
      <c r="AT591" s="190"/>
      <c r="AU591" s="203"/>
      <c r="AV591" s="203"/>
      <c r="AW591" s="203"/>
      <c r="AX591" s="203"/>
      <c r="AY591" s="203"/>
      <c r="AZ591" s="203"/>
      <c r="BA591" s="203"/>
      <c r="BB591" s="203"/>
      <c r="BC591" s="579"/>
      <c r="BD591" s="609"/>
      <c r="BE591" s="117"/>
      <c r="BF591" s="118"/>
    </row>
    <row r="592" spans="1:58" s="120" customFormat="1" ht="35.1" customHeight="1" x14ac:dyDescent="0.25">
      <c r="A592" s="675"/>
      <c r="B592" s="800"/>
      <c r="C592" s="665">
        <v>15</v>
      </c>
      <c r="D592" s="817"/>
      <c r="E592" s="689"/>
      <c r="F592" s="759"/>
      <c r="G592" s="786"/>
      <c r="H592" s="776">
        <v>0.1</v>
      </c>
      <c r="I592" s="549" t="s">
        <v>959</v>
      </c>
      <c r="J592" s="758">
        <v>1</v>
      </c>
      <c r="K592" s="770" t="s">
        <v>960</v>
      </c>
      <c r="L592" s="770" t="s">
        <v>961</v>
      </c>
      <c r="M592" s="722" t="str">
        <f>CONCATENATE(U592,$U$1,U593)</f>
        <v>No. de requerimientos atendidos en términos de leyNo. de requerimientos recibidos</v>
      </c>
      <c r="N592" s="773" t="s">
        <v>962</v>
      </c>
      <c r="O592" s="797" t="s">
        <v>919</v>
      </c>
      <c r="P592" s="776">
        <v>0.1</v>
      </c>
      <c r="Q592" s="761">
        <v>1</v>
      </c>
      <c r="R592" s="761">
        <v>1</v>
      </c>
      <c r="S592" s="761">
        <v>1</v>
      </c>
      <c r="T592" s="764" t="s">
        <v>151</v>
      </c>
      <c r="U592" s="417" t="s">
        <v>963</v>
      </c>
      <c r="V592" s="164"/>
      <c r="W592" s="164"/>
      <c r="X592" s="352"/>
      <c r="Y592" s="352"/>
      <c r="Z592" s="322"/>
      <c r="AA592" s="322"/>
      <c r="AB592" s="322"/>
      <c r="AC592" s="322"/>
      <c r="AD592" s="767">
        <f>+AE592+AF592+AG592</f>
        <v>0</v>
      </c>
      <c r="AE592" s="755">
        <v>0</v>
      </c>
      <c r="AF592" s="755">
        <v>0</v>
      </c>
      <c r="AG592" s="755">
        <v>0</v>
      </c>
      <c r="AH592" s="716" t="s">
        <v>921</v>
      </c>
      <c r="AI592" s="716" t="s">
        <v>921</v>
      </c>
      <c r="AJ592" s="735" t="s">
        <v>94</v>
      </c>
      <c r="AK592" s="735"/>
      <c r="AL592" s="716" t="s">
        <v>94</v>
      </c>
      <c r="AM592" s="735"/>
      <c r="AN592" s="716" t="s">
        <v>94</v>
      </c>
      <c r="AO592" s="716"/>
      <c r="AP592" s="716"/>
      <c r="AQ592" s="716"/>
      <c r="AR592" s="794" t="s">
        <v>94</v>
      </c>
      <c r="AS592" s="716"/>
      <c r="AT592" s="190" t="s">
        <v>129</v>
      </c>
      <c r="AU592" s="203">
        <f t="shared" ref="AU592:BB592" si="468">+V594*$J$592</f>
        <v>0</v>
      </c>
      <c r="AV592" s="203">
        <f t="shared" si="468"/>
        <v>0</v>
      </c>
      <c r="AW592" s="203">
        <f t="shared" si="468"/>
        <v>0</v>
      </c>
      <c r="AX592" s="203">
        <f t="shared" si="468"/>
        <v>0</v>
      </c>
      <c r="AY592" s="203">
        <f t="shared" si="468"/>
        <v>0</v>
      </c>
      <c r="AZ592" s="203">
        <f t="shared" si="468"/>
        <v>0</v>
      </c>
      <c r="BA592" s="203">
        <f t="shared" si="468"/>
        <v>0</v>
      </c>
      <c r="BB592" s="203">
        <f t="shared" si="468"/>
        <v>0</v>
      </c>
      <c r="BC592" s="579"/>
      <c r="BD592" s="609"/>
      <c r="BE592" s="117"/>
      <c r="BF592" s="118"/>
    </row>
    <row r="593" spans="1:58" s="120" customFormat="1" ht="35.1" customHeight="1" x14ac:dyDescent="0.25">
      <c r="A593" s="675"/>
      <c r="B593" s="800"/>
      <c r="C593" s="665"/>
      <c r="D593" s="817"/>
      <c r="E593" s="689"/>
      <c r="F593" s="759"/>
      <c r="G593" s="786"/>
      <c r="H593" s="777"/>
      <c r="I593" s="550"/>
      <c r="J593" s="759"/>
      <c r="K593" s="771"/>
      <c r="L593" s="771"/>
      <c r="M593" s="723"/>
      <c r="N593" s="774"/>
      <c r="O593" s="798"/>
      <c r="P593" s="777"/>
      <c r="Q593" s="762"/>
      <c r="R593" s="762"/>
      <c r="S593" s="762"/>
      <c r="T593" s="765"/>
      <c r="U593" s="419" t="s">
        <v>964</v>
      </c>
      <c r="V593" s="220">
        <v>142</v>
      </c>
      <c r="W593" s="220">
        <v>233</v>
      </c>
      <c r="X593" s="228">
        <v>1</v>
      </c>
      <c r="Y593" s="228">
        <v>1</v>
      </c>
      <c r="Z593" s="228">
        <v>1</v>
      </c>
      <c r="AA593" s="228">
        <v>1</v>
      </c>
      <c r="AB593" s="228">
        <v>1</v>
      </c>
      <c r="AC593" s="228">
        <v>1</v>
      </c>
      <c r="AD593" s="768"/>
      <c r="AE593" s="756"/>
      <c r="AF593" s="756"/>
      <c r="AG593" s="756"/>
      <c r="AH593" s="717"/>
      <c r="AI593" s="717"/>
      <c r="AJ593" s="735"/>
      <c r="AK593" s="735"/>
      <c r="AL593" s="717"/>
      <c r="AM593" s="735"/>
      <c r="AN593" s="717"/>
      <c r="AO593" s="717"/>
      <c r="AP593" s="717"/>
      <c r="AQ593" s="717"/>
      <c r="AR593" s="795"/>
      <c r="AS593" s="717"/>
      <c r="AT593" s="190" t="s">
        <v>131</v>
      </c>
      <c r="AU593" s="203">
        <f>+AU592*$H$592</f>
        <v>0</v>
      </c>
      <c r="AV593" s="203">
        <f t="shared" ref="AV593:BB593" si="469">+AV592*$H$592</f>
        <v>0</v>
      </c>
      <c r="AW593" s="203">
        <f t="shared" si="469"/>
        <v>0</v>
      </c>
      <c r="AX593" s="203">
        <f t="shared" si="469"/>
        <v>0</v>
      </c>
      <c r="AY593" s="203">
        <f t="shared" si="469"/>
        <v>0</v>
      </c>
      <c r="AZ593" s="203">
        <f t="shared" si="469"/>
        <v>0</v>
      </c>
      <c r="BA593" s="203">
        <f t="shared" si="469"/>
        <v>0</v>
      </c>
      <c r="BB593" s="203">
        <f t="shared" si="469"/>
        <v>0</v>
      </c>
      <c r="BC593" s="579"/>
      <c r="BD593" s="609"/>
      <c r="BE593" s="117"/>
      <c r="BF593" s="118"/>
    </row>
    <row r="594" spans="1:58" s="120" customFormat="1" ht="24.95" customHeight="1" x14ac:dyDescent="0.25">
      <c r="A594" s="675"/>
      <c r="B594" s="800"/>
      <c r="C594" s="665"/>
      <c r="D594" s="817"/>
      <c r="E594" s="689"/>
      <c r="F594" s="759"/>
      <c r="G594" s="786"/>
      <c r="H594" s="777"/>
      <c r="I594" s="551"/>
      <c r="J594" s="760"/>
      <c r="K594" s="772"/>
      <c r="L594" s="772"/>
      <c r="M594" s="724"/>
      <c r="N594" s="775"/>
      <c r="O594" s="799"/>
      <c r="P594" s="778"/>
      <c r="Q594" s="763"/>
      <c r="R594" s="763"/>
      <c r="S594" s="763"/>
      <c r="T594" s="766"/>
      <c r="U594" s="172" t="s">
        <v>96</v>
      </c>
      <c r="V594" s="196">
        <f t="shared" ref="V594:AC594" si="470">IF((V592/V593)&lt;$I$8,(V592/V593),IF((V592/V593)&lt;$J$8,(V592/V593),IF((V592/V593)&lt;$J$9,(V592/V593),IF((V592/V593)&gt;=$J$9,$J$9))))</f>
        <v>0</v>
      </c>
      <c r="W594" s="196">
        <f t="shared" si="470"/>
        <v>0</v>
      </c>
      <c r="X594" s="196">
        <f t="shared" si="470"/>
        <v>0</v>
      </c>
      <c r="Y594" s="196">
        <f t="shared" si="470"/>
        <v>0</v>
      </c>
      <c r="Z594" s="196">
        <f t="shared" si="470"/>
        <v>0</v>
      </c>
      <c r="AA594" s="196">
        <f t="shared" si="470"/>
        <v>0</v>
      </c>
      <c r="AB594" s="196">
        <f t="shared" si="470"/>
        <v>0</v>
      </c>
      <c r="AC594" s="196">
        <f t="shared" si="470"/>
        <v>0</v>
      </c>
      <c r="AD594" s="769"/>
      <c r="AE594" s="757"/>
      <c r="AF594" s="757"/>
      <c r="AG594" s="757"/>
      <c r="AH594" s="718"/>
      <c r="AI594" s="718"/>
      <c r="AJ594" s="735"/>
      <c r="AK594" s="735"/>
      <c r="AL594" s="718"/>
      <c r="AM594" s="735"/>
      <c r="AN594" s="718"/>
      <c r="AO594" s="718"/>
      <c r="AP594" s="718"/>
      <c r="AQ594" s="718"/>
      <c r="AR594" s="796"/>
      <c r="AS594" s="718"/>
      <c r="AT594" s="190" t="s">
        <v>132</v>
      </c>
      <c r="AU594" s="203"/>
      <c r="AV594" s="203"/>
      <c r="AW594" s="203"/>
      <c r="AX594" s="203"/>
      <c r="AY594" s="203"/>
      <c r="AZ594" s="203"/>
      <c r="BA594" s="203"/>
      <c r="BB594" s="203"/>
      <c r="BC594" s="579"/>
      <c r="BD594" s="609"/>
      <c r="BE594" s="117"/>
      <c r="BF594" s="118"/>
    </row>
    <row r="595" spans="1:58" s="120" customFormat="1" ht="35.1" customHeight="1" x14ac:dyDescent="0.25">
      <c r="A595" s="675"/>
      <c r="B595" s="664"/>
      <c r="C595" s="665">
        <v>16</v>
      </c>
      <c r="D595" s="817"/>
      <c r="E595" s="689"/>
      <c r="F595" s="759"/>
      <c r="G595" s="786"/>
      <c r="H595" s="776">
        <v>0.15</v>
      </c>
      <c r="I595" s="549" t="s">
        <v>965</v>
      </c>
      <c r="J595" s="758">
        <v>1</v>
      </c>
      <c r="K595" s="770" t="s">
        <v>966</v>
      </c>
      <c r="L595" s="770" t="s">
        <v>967</v>
      </c>
      <c r="M595" s="722" t="str">
        <f>CONCATENATE(U595,$U$1,U596)</f>
        <v>% de percepción obtenida frente al clima laboral% de percepción esperada frente al clima laboral</v>
      </c>
      <c r="N595" s="773" t="s">
        <v>968</v>
      </c>
      <c r="O595" s="797" t="s">
        <v>969</v>
      </c>
      <c r="P595" s="776">
        <v>0.15</v>
      </c>
      <c r="Q595" s="761" t="s">
        <v>90</v>
      </c>
      <c r="R595" s="761">
        <v>0.9</v>
      </c>
      <c r="S595" s="761">
        <v>0.8</v>
      </c>
      <c r="T595" s="764" t="s">
        <v>91</v>
      </c>
      <c r="U595" s="164" t="s">
        <v>970</v>
      </c>
      <c r="V595" s="352"/>
      <c r="W595" s="352"/>
      <c r="X595" s="352"/>
      <c r="Y595" s="352"/>
      <c r="Z595" s="322"/>
      <c r="AA595" s="322"/>
      <c r="AB595" s="322"/>
      <c r="AC595" s="322"/>
      <c r="AD595" s="767">
        <f>+AE595+AF595+AG595</f>
        <v>25000000</v>
      </c>
      <c r="AE595" s="755">
        <v>25000000</v>
      </c>
      <c r="AF595" s="755">
        <v>0</v>
      </c>
      <c r="AG595" s="755">
        <v>0</v>
      </c>
      <c r="AH595" s="716" t="s">
        <v>921</v>
      </c>
      <c r="AI595" s="716" t="s">
        <v>921</v>
      </c>
      <c r="AJ595" s="735" t="s">
        <v>94</v>
      </c>
      <c r="AK595" s="735"/>
      <c r="AL595" s="716" t="s">
        <v>94</v>
      </c>
      <c r="AM595" s="735"/>
      <c r="AN595" s="716"/>
      <c r="AO595" s="716"/>
      <c r="AP595" s="716" t="s">
        <v>94</v>
      </c>
      <c r="AQ595" s="794" t="s">
        <v>94</v>
      </c>
      <c r="AR595" s="716"/>
      <c r="AS595" s="716"/>
      <c r="AT595" s="190" t="s">
        <v>129</v>
      </c>
      <c r="AU595" s="195">
        <f t="shared" ref="AU595:BB595" si="471">+V597*$J$595</f>
        <v>0</v>
      </c>
      <c r="AV595" s="195">
        <f t="shared" si="471"/>
        <v>0</v>
      </c>
      <c r="AW595" s="203">
        <f t="shared" si="471"/>
        <v>0</v>
      </c>
      <c r="AX595" s="203">
        <f t="shared" si="471"/>
        <v>0</v>
      </c>
      <c r="AY595" s="195">
        <f t="shared" si="471"/>
        <v>0</v>
      </c>
      <c r="AZ595" s="195">
        <f t="shared" si="471"/>
        <v>0</v>
      </c>
      <c r="BA595" s="203">
        <f t="shared" si="471"/>
        <v>0</v>
      </c>
      <c r="BB595" s="203">
        <f t="shared" si="471"/>
        <v>0</v>
      </c>
      <c r="BC595" s="579"/>
      <c r="BD595" s="609"/>
      <c r="BE595" s="117"/>
      <c r="BF595" s="118"/>
    </row>
    <row r="596" spans="1:58" s="120" customFormat="1" ht="35.1" customHeight="1" x14ac:dyDescent="0.25">
      <c r="A596" s="675"/>
      <c r="B596" s="664"/>
      <c r="C596" s="665"/>
      <c r="D596" s="817"/>
      <c r="E596" s="689"/>
      <c r="F596" s="759"/>
      <c r="G596" s="786"/>
      <c r="H596" s="777"/>
      <c r="I596" s="550"/>
      <c r="J596" s="759"/>
      <c r="K596" s="771"/>
      <c r="L596" s="771"/>
      <c r="M596" s="723"/>
      <c r="N596" s="774"/>
      <c r="O596" s="798"/>
      <c r="P596" s="777"/>
      <c r="Q596" s="762"/>
      <c r="R596" s="762"/>
      <c r="S596" s="762"/>
      <c r="T596" s="765"/>
      <c r="U596" s="224" t="s">
        <v>971</v>
      </c>
      <c r="V596" s="411">
        <v>1E-4</v>
      </c>
      <c r="W596" s="411">
        <v>1E-4</v>
      </c>
      <c r="X596" s="228">
        <v>0.8</v>
      </c>
      <c r="Y596" s="418">
        <v>0.01</v>
      </c>
      <c r="Z596" s="418">
        <v>0.01</v>
      </c>
      <c r="AA596" s="418">
        <v>0.01</v>
      </c>
      <c r="AB596" s="228">
        <v>0.8</v>
      </c>
      <c r="AC596" s="420">
        <v>0.01</v>
      </c>
      <c r="AD596" s="768"/>
      <c r="AE596" s="756"/>
      <c r="AF596" s="756"/>
      <c r="AG596" s="756"/>
      <c r="AH596" s="717"/>
      <c r="AI596" s="717"/>
      <c r="AJ596" s="735"/>
      <c r="AK596" s="735"/>
      <c r="AL596" s="717"/>
      <c r="AM596" s="735"/>
      <c r="AN596" s="717"/>
      <c r="AO596" s="717"/>
      <c r="AP596" s="717"/>
      <c r="AQ596" s="795"/>
      <c r="AR596" s="717"/>
      <c r="AS596" s="717"/>
      <c r="AT596" s="190" t="s">
        <v>131</v>
      </c>
      <c r="AU596" s="203">
        <f>+AU595*$H$595</f>
        <v>0</v>
      </c>
      <c r="AV596" s="203">
        <f t="shared" ref="AV596:BB596" si="472">+AV595*$H$595</f>
        <v>0</v>
      </c>
      <c r="AW596" s="203">
        <f t="shared" si="472"/>
        <v>0</v>
      </c>
      <c r="AX596" s="203">
        <f t="shared" si="472"/>
        <v>0</v>
      </c>
      <c r="AY596" s="203">
        <f t="shared" si="472"/>
        <v>0</v>
      </c>
      <c r="AZ596" s="203">
        <f t="shared" si="472"/>
        <v>0</v>
      </c>
      <c r="BA596" s="203">
        <f t="shared" si="472"/>
        <v>0</v>
      </c>
      <c r="BB596" s="203">
        <f t="shared" si="472"/>
        <v>0</v>
      </c>
      <c r="BC596" s="579"/>
      <c r="BD596" s="609"/>
      <c r="BE596" s="117"/>
      <c r="BF596" s="118"/>
    </row>
    <row r="597" spans="1:58" s="120" customFormat="1" ht="24.95" customHeight="1" x14ac:dyDescent="0.25">
      <c r="A597" s="675"/>
      <c r="B597" s="664"/>
      <c r="C597" s="665"/>
      <c r="D597" s="817"/>
      <c r="E597" s="689"/>
      <c r="F597" s="759"/>
      <c r="G597" s="786"/>
      <c r="H597" s="777"/>
      <c r="I597" s="551"/>
      <c r="J597" s="760"/>
      <c r="K597" s="772"/>
      <c r="L597" s="772"/>
      <c r="M597" s="724"/>
      <c r="N597" s="775"/>
      <c r="O597" s="799"/>
      <c r="P597" s="778"/>
      <c r="Q597" s="763"/>
      <c r="R597" s="763"/>
      <c r="S597" s="763"/>
      <c r="T597" s="766"/>
      <c r="U597" s="172" t="s">
        <v>96</v>
      </c>
      <c r="V597" s="197">
        <f t="shared" ref="V597:AB597" si="473">IF((V595/V596)&lt;$I$8,(V595/V596),IF((V595/V596)&lt;$J$8,(V595/V596),IF((V595/V596)&lt;$J$9,(V595/V596),IF((V595/V596)&gt;=$J$9,$J$9))))</f>
        <v>0</v>
      </c>
      <c r="W597" s="197">
        <f t="shared" si="473"/>
        <v>0</v>
      </c>
      <c r="X597" s="196">
        <f t="shared" si="473"/>
        <v>0</v>
      </c>
      <c r="Y597" s="197">
        <f>IF((Y595/Y596)&lt;$I$8,(Y595/Y596),IF((Y595/Y596)&lt;$J$8,(Y595/Y596),IF((Y595/Y596)&lt;$J$9,(Y595/Y596),IF((Y595/Y596)&gt;=$J$9,$J$9))))</f>
        <v>0</v>
      </c>
      <c r="Z597" s="197">
        <f t="shared" ref="Z597:AA597" si="474">IF((Z595/Z596)&lt;$I$8,(Z595/Z596),IF((Z595/Z596)&lt;$J$8,(Z595/Z596),IF((Z595/Z596)&lt;$J$9,(Z595/Z596),IF((Z595/Z596)&gt;=$J$9,$J$9))))</f>
        <v>0</v>
      </c>
      <c r="AA597" s="197">
        <f t="shared" si="474"/>
        <v>0</v>
      </c>
      <c r="AB597" s="196">
        <f t="shared" si="473"/>
        <v>0</v>
      </c>
      <c r="AC597" s="197">
        <f>IF((AC595/AC596)&lt;$I$8,(AC595/AC596),IF((AC595/AC596)&lt;$J$8,(AC595/AC596),IF((AC595/AC596)&lt;$J$9,(AC595/AC596),IF((AC595/AC596)&gt;=$J$9,$J$9))))</f>
        <v>0</v>
      </c>
      <c r="AD597" s="769"/>
      <c r="AE597" s="757"/>
      <c r="AF597" s="757"/>
      <c r="AG597" s="757"/>
      <c r="AH597" s="718"/>
      <c r="AI597" s="718"/>
      <c r="AJ597" s="735"/>
      <c r="AK597" s="735"/>
      <c r="AL597" s="718"/>
      <c r="AM597" s="735"/>
      <c r="AN597" s="718"/>
      <c r="AO597" s="718"/>
      <c r="AP597" s="718"/>
      <c r="AQ597" s="796"/>
      <c r="AR597" s="718"/>
      <c r="AS597" s="718"/>
      <c r="AT597" s="190" t="s">
        <v>132</v>
      </c>
      <c r="AU597" s="575"/>
      <c r="AV597" s="576"/>
      <c r="AW597" s="576"/>
      <c r="AX597" s="576"/>
      <c r="AY597" s="576"/>
      <c r="AZ597" s="576"/>
      <c r="BA597" s="576"/>
      <c r="BB597" s="577"/>
      <c r="BC597" s="579"/>
      <c r="BD597" s="609"/>
      <c r="BE597" s="117"/>
      <c r="BF597" s="118"/>
    </row>
    <row r="598" spans="1:58" s="120" customFormat="1" ht="24.95" customHeight="1" x14ac:dyDescent="0.25">
      <c r="A598" s="668" t="s">
        <v>230</v>
      </c>
      <c r="B598" s="134"/>
      <c r="C598" s="665">
        <v>17</v>
      </c>
      <c r="D598" s="817"/>
      <c r="E598" s="689"/>
      <c r="F598" s="759"/>
      <c r="G598" s="786"/>
      <c r="H598" s="793">
        <v>0.01</v>
      </c>
      <c r="I598" s="722" t="s">
        <v>972</v>
      </c>
      <c r="J598" s="758">
        <v>1</v>
      </c>
      <c r="K598" s="770" t="s">
        <v>973</v>
      </c>
      <c r="L598" s="770" t="s">
        <v>974</v>
      </c>
      <c r="M598" s="722" t="str">
        <f>CONCATENATE(U598,$U$1,U599)</f>
        <v>Nº de actividades desarrolladas en la parte psicosocial Nº de actvidades programadas</v>
      </c>
      <c r="N598" s="773" t="s">
        <v>975</v>
      </c>
      <c r="O598" s="773" t="s">
        <v>951</v>
      </c>
      <c r="P598" s="789">
        <v>0</v>
      </c>
      <c r="Q598" s="773" t="s">
        <v>90</v>
      </c>
      <c r="R598" s="761">
        <v>1</v>
      </c>
      <c r="S598" s="789">
        <v>1</v>
      </c>
      <c r="T598" s="764" t="s">
        <v>91</v>
      </c>
      <c r="U598" s="164" t="s">
        <v>976</v>
      </c>
      <c r="V598" s="352"/>
      <c r="W598" s="352"/>
      <c r="X598" s="352"/>
      <c r="Y598" s="352"/>
      <c r="Z598" s="322"/>
      <c r="AA598" s="322"/>
      <c r="AB598" s="322"/>
      <c r="AC598" s="322"/>
      <c r="AD598" s="767">
        <v>0</v>
      </c>
      <c r="AE598" s="767">
        <v>0</v>
      </c>
      <c r="AF598" s="767">
        <v>0</v>
      </c>
      <c r="AG598" s="767">
        <v>0</v>
      </c>
      <c r="AH598" s="716" t="s">
        <v>921</v>
      </c>
      <c r="AI598" s="716" t="s">
        <v>921</v>
      </c>
      <c r="AJ598" s="716" t="s">
        <v>94</v>
      </c>
      <c r="AK598" s="716"/>
      <c r="AL598" s="716"/>
      <c r="AM598" s="735"/>
      <c r="AN598" s="716" t="s">
        <v>94</v>
      </c>
      <c r="AO598" s="716"/>
      <c r="AP598" s="716"/>
      <c r="AQ598" s="716" t="s">
        <v>94</v>
      </c>
      <c r="AR598" s="716"/>
      <c r="AS598" s="716"/>
      <c r="AT598" s="190"/>
      <c r="AU598" s="203"/>
      <c r="AV598" s="203"/>
      <c r="AW598" s="203"/>
      <c r="AX598" s="203"/>
      <c r="AY598" s="203"/>
      <c r="AZ598" s="203"/>
      <c r="BA598" s="203"/>
      <c r="BB598" s="203"/>
      <c r="BC598" s="579"/>
      <c r="BD598" s="609"/>
      <c r="BE598" s="117"/>
      <c r="BF598" s="118"/>
    </row>
    <row r="599" spans="1:58" s="120" customFormat="1" ht="24.95" customHeight="1" x14ac:dyDescent="0.25">
      <c r="A599" s="668"/>
      <c r="B599" s="134"/>
      <c r="C599" s="665"/>
      <c r="D599" s="817"/>
      <c r="E599" s="689"/>
      <c r="F599" s="759"/>
      <c r="G599" s="786"/>
      <c r="H599" s="793"/>
      <c r="I599" s="723"/>
      <c r="J599" s="759"/>
      <c r="K599" s="771"/>
      <c r="L599" s="771"/>
      <c r="M599" s="723"/>
      <c r="N599" s="774"/>
      <c r="O599" s="774"/>
      <c r="P599" s="774"/>
      <c r="Q599" s="774"/>
      <c r="R599" s="762"/>
      <c r="S599" s="774"/>
      <c r="T599" s="765"/>
      <c r="U599" s="224" t="s">
        <v>977</v>
      </c>
      <c r="V599" s="421">
        <v>1E-4</v>
      </c>
      <c r="W599" s="421">
        <v>1E-4</v>
      </c>
      <c r="X599" s="421">
        <v>1E-4</v>
      </c>
      <c r="Y599" s="228"/>
      <c r="Z599" s="228"/>
      <c r="AA599" s="228"/>
      <c r="AB599" s="228"/>
      <c r="AC599" s="228"/>
      <c r="AD599" s="768"/>
      <c r="AE599" s="768"/>
      <c r="AF599" s="768"/>
      <c r="AG599" s="768"/>
      <c r="AH599" s="717"/>
      <c r="AI599" s="717"/>
      <c r="AJ599" s="717"/>
      <c r="AK599" s="717"/>
      <c r="AL599" s="717"/>
      <c r="AM599" s="735"/>
      <c r="AN599" s="717"/>
      <c r="AO599" s="717"/>
      <c r="AP599" s="717"/>
      <c r="AQ599" s="717"/>
      <c r="AR599" s="717"/>
      <c r="AS599" s="717"/>
      <c r="AT599" s="190"/>
      <c r="AU599" s="203"/>
      <c r="AV599" s="203"/>
      <c r="AW599" s="203"/>
      <c r="AX599" s="203"/>
      <c r="AY599" s="203"/>
      <c r="AZ599" s="203"/>
      <c r="BA599" s="203"/>
      <c r="BB599" s="203"/>
      <c r="BC599" s="579"/>
      <c r="BD599" s="609"/>
      <c r="BE599" s="117"/>
      <c r="BF599" s="118"/>
    </row>
    <row r="600" spans="1:58" s="120" customFormat="1" ht="24.95" customHeight="1" x14ac:dyDescent="0.25">
      <c r="A600" s="668"/>
      <c r="B600" s="134"/>
      <c r="C600" s="665"/>
      <c r="D600" s="817"/>
      <c r="E600" s="689"/>
      <c r="F600" s="759"/>
      <c r="G600" s="786"/>
      <c r="H600" s="793"/>
      <c r="I600" s="724"/>
      <c r="J600" s="760"/>
      <c r="K600" s="772"/>
      <c r="L600" s="772"/>
      <c r="M600" s="724"/>
      <c r="N600" s="775"/>
      <c r="O600" s="775"/>
      <c r="P600" s="775"/>
      <c r="Q600" s="775"/>
      <c r="R600" s="763"/>
      <c r="S600" s="775"/>
      <c r="T600" s="766"/>
      <c r="U600" s="172" t="s">
        <v>96</v>
      </c>
      <c r="V600" s="197">
        <f>IF((V598/V599)&lt;$I$8,(V598/V599),IF((V598/V599)&lt;$J$8,(V598/V599),IF((V598/V599)&lt;$J$9,(V598/V599),IF((V598/V599)&gt;=$J$9,$J$9))))</f>
        <v>0</v>
      </c>
      <c r="W600" s="197">
        <f>IF((W598/W599)&lt;$I$8,(W598/W599),IF((W598/W599)&lt;$J$8,(W598/W599),IF((W598/W599)&lt;$J$9,(W598/W599),IF((W598/W599)&gt;=$J$9,$J$9))))</f>
        <v>0</v>
      </c>
      <c r="X600" s="197">
        <f>IF((X598/X599)&lt;$I$8,(X598/X599),IF((X598/X599)&lt;$J$8,(X598/X599),IF((X598/X599)&lt;$J$9,(X598/X599),IF((X598/X599)&gt;=$J$9,$J$9))))</f>
        <v>0</v>
      </c>
      <c r="Y600" s="416">
        <v>0</v>
      </c>
      <c r="Z600" s="196">
        <v>0</v>
      </c>
      <c r="AA600" s="196">
        <v>0</v>
      </c>
      <c r="AB600" s="196">
        <v>0</v>
      </c>
      <c r="AC600" s="196">
        <v>0</v>
      </c>
      <c r="AD600" s="769"/>
      <c r="AE600" s="769"/>
      <c r="AF600" s="769"/>
      <c r="AG600" s="769"/>
      <c r="AH600" s="718"/>
      <c r="AI600" s="718"/>
      <c r="AJ600" s="717"/>
      <c r="AK600" s="718"/>
      <c r="AL600" s="718"/>
      <c r="AM600" s="735"/>
      <c r="AN600" s="717"/>
      <c r="AO600" s="717"/>
      <c r="AP600" s="717"/>
      <c r="AQ600" s="717"/>
      <c r="AR600" s="717"/>
      <c r="AS600" s="717"/>
      <c r="AT600" s="190"/>
      <c r="AU600" s="203"/>
      <c r="AV600" s="203"/>
      <c r="AW600" s="203"/>
      <c r="AX600" s="203"/>
      <c r="AY600" s="203"/>
      <c r="AZ600" s="203"/>
      <c r="BA600" s="203"/>
      <c r="BB600" s="203"/>
      <c r="BC600" s="579"/>
      <c r="BD600" s="609"/>
      <c r="BE600" s="117"/>
      <c r="BF600" s="118"/>
    </row>
    <row r="601" spans="1:58" s="120" customFormat="1" ht="24.95" customHeight="1" x14ac:dyDescent="0.25">
      <c r="A601" s="668" t="s">
        <v>230</v>
      </c>
      <c r="B601" s="134"/>
      <c r="C601" s="665">
        <v>18</v>
      </c>
      <c r="D601" s="817"/>
      <c r="E601" s="689"/>
      <c r="F601" s="759"/>
      <c r="G601" s="786"/>
      <c r="H601" s="790">
        <v>0.05</v>
      </c>
      <c r="I601" s="722" t="s">
        <v>978</v>
      </c>
      <c r="J601" s="788">
        <v>0.6</v>
      </c>
      <c r="K601" s="770" t="s">
        <v>979</v>
      </c>
      <c r="L601" s="770" t="s">
        <v>980</v>
      </c>
      <c r="M601" s="722" t="str">
        <f>CONCATENATE(U601,$U$1,U602)</f>
        <v>Severidad de los accidentes laborales obtenida = ((Nº de días perdidos por accidente laboral en el periodo + Nº de días cargados en el periodo)/Horas hombre trabajadas en el periodo x 240,000)Severidad de los accidentes laborales esperada max</v>
      </c>
      <c r="N601" s="773" t="s">
        <v>981</v>
      </c>
      <c r="O601" s="773" t="s">
        <v>519</v>
      </c>
      <c r="P601" s="789">
        <v>0</v>
      </c>
      <c r="Q601" s="773" t="s">
        <v>90</v>
      </c>
      <c r="R601" s="761" t="s">
        <v>982</v>
      </c>
      <c r="S601" s="773">
        <v>4.22</v>
      </c>
      <c r="T601" s="764" t="s">
        <v>91</v>
      </c>
      <c r="U601" s="164" t="s">
        <v>983</v>
      </c>
      <c r="V601" s="352"/>
      <c r="W601" s="352"/>
      <c r="X601" s="352"/>
      <c r="Y601" s="352"/>
      <c r="Z601" s="352"/>
      <c r="AA601" s="352"/>
      <c r="AB601" s="352"/>
      <c r="AC601" s="322"/>
      <c r="AD601" s="767">
        <v>0</v>
      </c>
      <c r="AE601" s="767">
        <v>0</v>
      </c>
      <c r="AF601" s="767">
        <v>0</v>
      </c>
      <c r="AG601" s="767">
        <v>0</v>
      </c>
      <c r="AH601" s="716" t="s">
        <v>921</v>
      </c>
      <c r="AI601" s="716" t="s">
        <v>921</v>
      </c>
      <c r="AJ601" s="716" t="s">
        <v>94</v>
      </c>
      <c r="AK601" s="716"/>
      <c r="AL601" s="716" t="s">
        <v>94</v>
      </c>
      <c r="AM601" s="735"/>
      <c r="AN601" s="735"/>
      <c r="AO601" s="735"/>
      <c r="AP601" s="735" t="s">
        <v>94</v>
      </c>
      <c r="AQ601" s="735"/>
      <c r="AR601" s="735"/>
      <c r="AS601" s="735" t="s">
        <v>94</v>
      </c>
      <c r="AT601" s="190"/>
      <c r="AU601" s="203"/>
      <c r="AV601" s="203"/>
      <c r="AW601" s="203"/>
      <c r="AX601" s="203"/>
      <c r="AY601" s="203"/>
      <c r="AZ601" s="203"/>
      <c r="BA601" s="203"/>
      <c r="BB601" s="203"/>
      <c r="BC601" s="579"/>
      <c r="BD601" s="609"/>
      <c r="BE601" s="117"/>
      <c r="BF601" s="118"/>
    </row>
    <row r="602" spans="1:58" s="120" customFormat="1" ht="24.95" customHeight="1" x14ac:dyDescent="0.25">
      <c r="A602" s="668"/>
      <c r="B602" s="134"/>
      <c r="C602" s="665"/>
      <c r="D602" s="817"/>
      <c r="E602" s="689"/>
      <c r="F602" s="759"/>
      <c r="G602" s="786"/>
      <c r="H602" s="791"/>
      <c r="I602" s="723"/>
      <c r="J602" s="771"/>
      <c r="K602" s="771"/>
      <c r="L602" s="771"/>
      <c r="M602" s="723"/>
      <c r="N602" s="774"/>
      <c r="O602" s="774"/>
      <c r="P602" s="774"/>
      <c r="Q602" s="774"/>
      <c r="R602" s="762"/>
      <c r="S602" s="774"/>
      <c r="T602" s="765"/>
      <c r="U602" s="224" t="s">
        <v>984</v>
      </c>
      <c r="V602" s="421">
        <v>1E-4</v>
      </c>
      <c r="W602" s="421">
        <v>1E-4</v>
      </c>
      <c r="X602" s="421">
        <v>1E-4</v>
      </c>
      <c r="Y602" s="422">
        <v>4.22</v>
      </c>
      <c r="Z602" s="421">
        <v>1E-4</v>
      </c>
      <c r="AA602" s="421">
        <v>1E-4</v>
      </c>
      <c r="AB602" s="421">
        <v>1E-4</v>
      </c>
      <c r="AC602" s="422">
        <f>+Y602</f>
        <v>4.22</v>
      </c>
      <c r="AD602" s="768"/>
      <c r="AE602" s="768"/>
      <c r="AF602" s="768"/>
      <c r="AG602" s="768"/>
      <c r="AH602" s="717"/>
      <c r="AI602" s="717"/>
      <c r="AJ602" s="717"/>
      <c r="AK602" s="717"/>
      <c r="AL602" s="717"/>
      <c r="AM602" s="735"/>
      <c r="AN602" s="735"/>
      <c r="AO602" s="735"/>
      <c r="AP602" s="735"/>
      <c r="AQ602" s="735"/>
      <c r="AR602" s="735"/>
      <c r="AS602" s="735"/>
      <c r="AT602" s="190"/>
      <c r="AU602" s="203"/>
      <c r="AV602" s="203"/>
      <c r="AW602" s="203"/>
      <c r="AX602" s="203"/>
      <c r="AY602" s="203"/>
      <c r="AZ602" s="203"/>
      <c r="BA602" s="203"/>
      <c r="BB602" s="203"/>
      <c r="BC602" s="579"/>
      <c r="BD602" s="609"/>
      <c r="BE602" s="117"/>
      <c r="BF602" s="118"/>
    </row>
    <row r="603" spans="1:58" s="120" customFormat="1" ht="24.95" customHeight="1" x14ac:dyDescent="0.25">
      <c r="A603" s="668"/>
      <c r="B603" s="134"/>
      <c r="C603" s="665"/>
      <c r="D603" s="817"/>
      <c r="E603" s="689"/>
      <c r="F603" s="759"/>
      <c r="G603" s="786"/>
      <c r="H603" s="791"/>
      <c r="I603" s="723"/>
      <c r="J603" s="772"/>
      <c r="K603" s="772"/>
      <c r="L603" s="772"/>
      <c r="M603" s="724"/>
      <c r="N603" s="775"/>
      <c r="O603" s="775"/>
      <c r="P603" s="775"/>
      <c r="Q603" s="775"/>
      <c r="R603" s="763"/>
      <c r="S603" s="775"/>
      <c r="T603" s="766"/>
      <c r="U603" s="172" t="s">
        <v>96</v>
      </c>
      <c r="V603" s="197">
        <f>IF((V601/V602)&lt;$I$8,(V601/V602),IF((V601/V602)&lt;$J$8,(V601/V602),IF((V601/V602)&lt;$J$9,(V601/V602),IF((V601/V602)&gt;=$J$9,$J$9))))</f>
        <v>0</v>
      </c>
      <c r="W603" s="197">
        <f>IF((W601/W602)&lt;$I$8,(W601/W602),IF((W601/W602)&lt;$J$8,(W601/W602),IF((W601/W602)&lt;$J$9,(W601/W602),IF((W601/W602)&gt;=$J$9,$J$9))))</f>
        <v>0</v>
      </c>
      <c r="X603" s="197">
        <f>IF((X601/X602)&lt;$I$8,(X601/X602),IF((X601/X602)&lt;$J$8,(X601/X602),IF((X601/X602)&lt;$J$9,(X601/X602),IF((X601/X602)&gt;=$J$9,$J$9))))</f>
        <v>0</v>
      </c>
      <c r="Y603" s="416">
        <v>0</v>
      </c>
      <c r="Z603" s="197">
        <f>IF((Z601/Z602)&lt;$I$8,(Z601/Z602),IF((Z601/Z602)&lt;$J$8,(Z601/Z602),IF((Z601/Z602)&lt;$J$9,(Z601/Z602),IF((Z601/Z602)&gt;=$J$9,$J$9))))</f>
        <v>0</v>
      </c>
      <c r="AA603" s="197">
        <f>IF((AA601/AA602)&lt;$I$8,(AA601/AA602),IF((AA601/AA602)&lt;$J$8,(AA601/AA602),IF((AA601/AA602)&lt;$J$9,(AA601/AA602),IF((AA601/AA602)&gt;=$J$9,$J$9))))</f>
        <v>0</v>
      </c>
      <c r="AB603" s="197">
        <f>IF((AB601/AB602)&lt;$I$8,(AB601/AB602),IF((AB601/AB602)&lt;$J$8,(AB601/AB602),IF((AB601/AB602)&lt;$J$9,(AB601/AB602),IF((AB601/AB602)&gt;=$J$9,$J$9))))</f>
        <v>0</v>
      </c>
      <c r="AC603" s="196">
        <v>0</v>
      </c>
      <c r="AD603" s="769"/>
      <c r="AE603" s="769"/>
      <c r="AF603" s="769"/>
      <c r="AG603" s="769"/>
      <c r="AH603" s="718"/>
      <c r="AI603" s="718"/>
      <c r="AJ603" s="717"/>
      <c r="AK603" s="718"/>
      <c r="AL603" s="718"/>
      <c r="AM603" s="735"/>
      <c r="AN603" s="735"/>
      <c r="AO603" s="735"/>
      <c r="AP603" s="735"/>
      <c r="AQ603" s="735"/>
      <c r="AR603" s="735"/>
      <c r="AS603" s="735"/>
      <c r="AT603" s="190"/>
      <c r="AU603" s="203"/>
      <c r="AV603" s="203"/>
      <c r="AW603" s="203"/>
      <c r="AX603" s="203"/>
      <c r="AY603" s="203"/>
      <c r="AZ603" s="203"/>
      <c r="BA603" s="203"/>
      <c r="BB603" s="203"/>
      <c r="BC603" s="579"/>
      <c r="BD603" s="609"/>
      <c r="BE603" s="117"/>
      <c r="BF603" s="118"/>
    </row>
    <row r="604" spans="1:58" s="120" customFormat="1" ht="24.95" customHeight="1" x14ac:dyDescent="0.25">
      <c r="A604" s="668" t="s">
        <v>230</v>
      </c>
      <c r="B604" s="134"/>
      <c r="C604" s="665">
        <v>19</v>
      </c>
      <c r="D604" s="817"/>
      <c r="E604" s="689"/>
      <c r="F604" s="759"/>
      <c r="G604" s="786"/>
      <c r="H604" s="791"/>
      <c r="I604" s="723"/>
      <c r="J604" s="788">
        <v>0.4</v>
      </c>
      <c r="K604" s="770" t="s">
        <v>985</v>
      </c>
      <c r="L604" s="770" t="s">
        <v>986</v>
      </c>
      <c r="M604" s="722" t="str">
        <f>CONCATENATE(U604,$U$1,U605)</f>
        <v>Frecuencia de los accidentes laborales = (Nº de accidente laboral en el periodo / Horas hombre trabajadas en el periodo x 240,000)Frecuencia de los accidentes laborales maximos esperados</v>
      </c>
      <c r="N604" s="773" t="s">
        <v>981</v>
      </c>
      <c r="O604" s="773" t="s">
        <v>519</v>
      </c>
      <c r="P604" s="789">
        <v>0</v>
      </c>
      <c r="Q604" s="773" t="s">
        <v>90</v>
      </c>
      <c r="R604" s="761" t="s">
        <v>982</v>
      </c>
      <c r="S604" s="773">
        <v>1.41</v>
      </c>
      <c r="T604" s="764" t="s">
        <v>91</v>
      </c>
      <c r="U604" s="164" t="s">
        <v>987</v>
      </c>
      <c r="V604" s="352"/>
      <c r="W604" s="352"/>
      <c r="X604" s="352"/>
      <c r="Y604" s="352"/>
      <c r="Z604" s="352"/>
      <c r="AA604" s="352"/>
      <c r="AB604" s="352"/>
      <c r="AC604" s="322"/>
      <c r="AD604" s="767">
        <v>0</v>
      </c>
      <c r="AE604" s="767">
        <v>0</v>
      </c>
      <c r="AF604" s="767">
        <v>0</v>
      </c>
      <c r="AG604" s="767">
        <v>0</v>
      </c>
      <c r="AH604" s="716" t="s">
        <v>921</v>
      </c>
      <c r="AI604" s="716" t="s">
        <v>921</v>
      </c>
      <c r="AJ604" s="716" t="s">
        <v>94</v>
      </c>
      <c r="AK604" s="716"/>
      <c r="AL604" s="716" t="s">
        <v>94</v>
      </c>
      <c r="AM604" s="735"/>
      <c r="AN604" s="716"/>
      <c r="AO604" s="716"/>
      <c r="AP604" s="716" t="s">
        <v>94</v>
      </c>
      <c r="AQ604" s="716"/>
      <c r="AR604" s="716"/>
      <c r="AS604" s="716" t="s">
        <v>94</v>
      </c>
      <c r="AT604" s="190"/>
      <c r="AU604" s="203"/>
      <c r="AV604" s="203"/>
      <c r="AW604" s="203"/>
      <c r="AX604" s="203"/>
      <c r="AY604" s="203"/>
      <c r="AZ604" s="203"/>
      <c r="BA604" s="203"/>
      <c r="BB604" s="203"/>
      <c r="BC604" s="579"/>
      <c r="BD604" s="609"/>
      <c r="BE604" s="117"/>
      <c r="BF604" s="118"/>
    </row>
    <row r="605" spans="1:58" s="120" customFormat="1" ht="24.95" customHeight="1" x14ac:dyDescent="0.25">
      <c r="A605" s="668"/>
      <c r="B605" s="134"/>
      <c r="C605" s="665"/>
      <c r="D605" s="817"/>
      <c r="E605" s="689"/>
      <c r="F605" s="759"/>
      <c r="G605" s="786"/>
      <c r="H605" s="791"/>
      <c r="I605" s="723"/>
      <c r="J605" s="771"/>
      <c r="K605" s="771"/>
      <c r="L605" s="771"/>
      <c r="M605" s="723"/>
      <c r="N605" s="774"/>
      <c r="O605" s="774"/>
      <c r="P605" s="774"/>
      <c r="Q605" s="774"/>
      <c r="R605" s="762"/>
      <c r="S605" s="774"/>
      <c r="T605" s="765"/>
      <c r="U605" s="224" t="s">
        <v>988</v>
      </c>
      <c r="V605" s="421">
        <v>1E-4</v>
      </c>
      <c r="W605" s="421">
        <v>1E-4</v>
      </c>
      <c r="X605" s="421">
        <v>1E-4</v>
      </c>
      <c r="Y605" s="422">
        <v>1.41</v>
      </c>
      <c r="Z605" s="421">
        <v>1E-4</v>
      </c>
      <c r="AA605" s="421">
        <v>1E-4</v>
      </c>
      <c r="AB605" s="421">
        <v>1E-4</v>
      </c>
      <c r="AC605" s="422">
        <f>+Y605</f>
        <v>1.41</v>
      </c>
      <c r="AD605" s="768"/>
      <c r="AE605" s="768"/>
      <c r="AF605" s="768"/>
      <c r="AG605" s="768"/>
      <c r="AH605" s="717"/>
      <c r="AI605" s="717"/>
      <c r="AJ605" s="717"/>
      <c r="AK605" s="717"/>
      <c r="AL605" s="717"/>
      <c r="AM605" s="735"/>
      <c r="AN605" s="717"/>
      <c r="AO605" s="717"/>
      <c r="AP605" s="717"/>
      <c r="AQ605" s="717"/>
      <c r="AR605" s="717"/>
      <c r="AS605" s="717"/>
      <c r="AT605" s="190"/>
      <c r="AU605" s="203"/>
      <c r="AV605" s="203"/>
      <c r="AW605" s="203"/>
      <c r="AX605" s="203"/>
      <c r="AY605" s="203"/>
      <c r="AZ605" s="203"/>
      <c r="BA605" s="203"/>
      <c r="BB605" s="203"/>
      <c r="BC605" s="579"/>
      <c r="BD605" s="609"/>
      <c r="BE605" s="117"/>
      <c r="BF605" s="118"/>
    </row>
    <row r="606" spans="1:58" s="120" customFormat="1" ht="24.95" customHeight="1" x14ac:dyDescent="0.25">
      <c r="A606" s="668"/>
      <c r="B606" s="134"/>
      <c r="C606" s="665"/>
      <c r="D606" s="817"/>
      <c r="E606" s="689"/>
      <c r="F606" s="759"/>
      <c r="G606" s="786"/>
      <c r="H606" s="792"/>
      <c r="I606" s="723"/>
      <c r="J606" s="772"/>
      <c r="K606" s="772"/>
      <c r="L606" s="772"/>
      <c r="M606" s="724"/>
      <c r="N606" s="775"/>
      <c r="O606" s="775"/>
      <c r="P606" s="775"/>
      <c r="Q606" s="775"/>
      <c r="R606" s="763"/>
      <c r="S606" s="775"/>
      <c r="T606" s="766"/>
      <c r="U606" s="172" t="s">
        <v>96</v>
      </c>
      <c r="V606" s="197">
        <f>IF((V604/V605)&lt;$I$8,(V604/V605),IF((V604/V605)&lt;$J$8,(V604/V605),IF((V604/V605)&lt;$J$9,(V604/V605),IF((V604/V605)&gt;=$J$9,$J$9))))</f>
        <v>0</v>
      </c>
      <c r="W606" s="197">
        <f>IF((W604/W605)&lt;$I$8,(W604/W605),IF((W604/W605)&lt;$J$8,(W604/W605),IF((W604/W605)&lt;$J$9,(W604/W605),IF((W604/W605)&gt;=$J$9,$J$9))))</f>
        <v>0</v>
      </c>
      <c r="X606" s="197">
        <f>IF((X604/X605)&lt;$I$8,(X604/X605),IF((X604/X605)&lt;$J$8,(X604/X605),IF((X604/X605)&lt;$J$9,(X604/X605),IF((X604/X605)&gt;=$J$9,$J$9))))</f>
        <v>0</v>
      </c>
      <c r="Y606" s="416">
        <v>0</v>
      </c>
      <c r="Z606" s="197">
        <f>IF((Z604/Z605)&lt;$I$8,(Z604/Z605),IF((Z604/Z605)&lt;$J$8,(Z604/Z605),IF((Z604/Z605)&lt;$J$9,(Z604/Z605),IF((Z604/Z605)&gt;=$J$9,$J$9))))</f>
        <v>0</v>
      </c>
      <c r="AA606" s="197">
        <f>IF((AA604/AA605)&lt;$I$8,(AA604/AA605),IF((AA604/AA605)&lt;$J$8,(AA604/AA605),IF((AA604/AA605)&lt;$J$9,(AA604/AA605),IF((AA604/AA605)&gt;=$J$9,$J$9))))</f>
        <v>0</v>
      </c>
      <c r="AB606" s="197">
        <f>IF((AB604/AB605)&lt;$I$8,(AB604/AB605),IF((AB604/AB605)&lt;$J$8,(AB604/AB605),IF((AB604/AB605)&lt;$J$9,(AB604/AB605),IF((AB604/AB605)&gt;=$J$9,$J$9))))</f>
        <v>0</v>
      </c>
      <c r="AC606" s="196">
        <v>0</v>
      </c>
      <c r="AD606" s="769"/>
      <c r="AE606" s="769"/>
      <c r="AF606" s="769"/>
      <c r="AG606" s="769"/>
      <c r="AH606" s="718"/>
      <c r="AI606" s="718"/>
      <c r="AJ606" s="717"/>
      <c r="AK606" s="718"/>
      <c r="AL606" s="718"/>
      <c r="AM606" s="735"/>
      <c r="AN606" s="718"/>
      <c r="AO606" s="718"/>
      <c r="AP606" s="718"/>
      <c r="AQ606" s="718"/>
      <c r="AR606" s="718"/>
      <c r="AS606" s="718"/>
      <c r="AT606" s="190"/>
      <c r="AU606" s="203"/>
      <c r="AV606" s="203"/>
      <c r="AW606" s="203"/>
      <c r="AX606" s="203"/>
      <c r="AY606" s="203"/>
      <c r="AZ606" s="203"/>
      <c r="BA606" s="203"/>
      <c r="BB606" s="203"/>
      <c r="BC606" s="579"/>
      <c r="BD606" s="609"/>
      <c r="BE606" s="117"/>
      <c r="BF606" s="118"/>
    </row>
    <row r="607" spans="1:58" s="120" customFormat="1" ht="35.1" customHeight="1" x14ac:dyDescent="0.25">
      <c r="A607" s="675"/>
      <c r="B607" s="664"/>
      <c r="C607" s="665">
        <v>20</v>
      </c>
      <c r="D607" s="817"/>
      <c r="E607" s="689"/>
      <c r="F607" s="759"/>
      <c r="G607" s="786"/>
      <c r="H607" s="776">
        <v>0.1</v>
      </c>
      <c r="I607" s="549" t="s">
        <v>989</v>
      </c>
      <c r="J607" s="758">
        <v>1</v>
      </c>
      <c r="K607" s="770" t="s">
        <v>990</v>
      </c>
      <c r="L607" s="770" t="s">
        <v>991</v>
      </c>
      <c r="M607" s="722" t="str">
        <f>CONCATENATE(U607,$U$1,U608)</f>
        <v>No. de campañas en pedagogía de paz realizadasNo. de campañas en pedagogía de paz programadas</v>
      </c>
      <c r="N607" s="773" t="s">
        <v>992</v>
      </c>
      <c r="O607" s="722" t="s">
        <v>919</v>
      </c>
      <c r="P607" s="776">
        <v>0.1</v>
      </c>
      <c r="Q607" s="761">
        <v>1</v>
      </c>
      <c r="R607" s="761">
        <v>1</v>
      </c>
      <c r="S607" s="761">
        <v>1</v>
      </c>
      <c r="T607" s="764" t="s">
        <v>151</v>
      </c>
      <c r="U607" s="423" t="s">
        <v>993</v>
      </c>
      <c r="V607" s="424"/>
      <c r="W607" s="424"/>
      <c r="X607" s="424"/>
      <c r="Y607" s="424"/>
      <c r="Z607" s="165"/>
      <c r="AA607" s="165"/>
      <c r="AB607" s="332"/>
      <c r="AC607" s="332"/>
      <c r="AD607" s="767">
        <f>+AE607+AF607+AG607</f>
        <v>0</v>
      </c>
      <c r="AE607" s="755">
        <v>0</v>
      </c>
      <c r="AF607" s="755">
        <v>0</v>
      </c>
      <c r="AG607" s="755">
        <v>0</v>
      </c>
      <c r="AH607" s="716" t="s">
        <v>921</v>
      </c>
      <c r="AI607" s="716" t="s">
        <v>921</v>
      </c>
      <c r="AJ607" s="735" t="s">
        <v>94</v>
      </c>
      <c r="AK607" s="735"/>
      <c r="AL607" s="716" t="s">
        <v>94</v>
      </c>
      <c r="AM607" s="735"/>
      <c r="AN607" s="716"/>
      <c r="AO607" s="716" t="s">
        <v>94</v>
      </c>
      <c r="AP607" s="716"/>
      <c r="AQ607" s="716" t="s">
        <v>94</v>
      </c>
      <c r="AR607" s="716"/>
      <c r="AS607" s="716"/>
      <c r="AT607" s="190" t="s">
        <v>129</v>
      </c>
      <c r="AU607" s="195">
        <f t="shared" ref="AU607:BB607" si="475">+V609*$J$607</f>
        <v>0</v>
      </c>
      <c r="AV607" s="203">
        <f t="shared" si="475"/>
        <v>0</v>
      </c>
      <c r="AW607" s="203">
        <f t="shared" si="475"/>
        <v>0</v>
      </c>
      <c r="AX607" s="203">
        <f t="shared" si="475"/>
        <v>0</v>
      </c>
      <c r="AY607" s="195">
        <f t="shared" si="475"/>
        <v>0</v>
      </c>
      <c r="AZ607" s="203">
        <f t="shared" si="475"/>
        <v>0</v>
      </c>
      <c r="BA607" s="203">
        <f t="shared" si="475"/>
        <v>0</v>
      </c>
      <c r="BB607" s="203">
        <f t="shared" si="475"/>
        <v>0</v>
      </c>
      <c r="BC607" s="579"/>
      <c r="BD607" s="609"/>
      <c r="BE607" s="117"/>
      <c r="BF607" s="118"/>
    </row>
    <row r="608" spans="1:58" s="120" customFormat="1" ht="35.1" customHeight="1" x14ac:dyDescent="0.25">
      <c r="A608" s="675"/>
      <c r="B608" s="664"/>
      <c r="C608" s="665"/>
      <c r="D608" s="817"/>
      <c r="E608" s="689"/>
      <c r="F608" s="759"/>
      <c r="G608" s="786"/>
      <c r="H608" s="777"/>
      <c r="I608" s="550"/>
      <c r="J608" s="759"/>
      <c r="K608" s="771"/>
      <c r="L608" s="771"/>
      <c r="M608" s="723"/>
      <c r="N608" s="774"/>
      <c r="O608" s="723"/>
      <c r="P608" s="777"/>
      <c r="Q608" s="762"/>
      <c r="R608" s="762"/>
      <c r="S608" s="762"/>
      <c r="T608" s="765"/>
      <c r="U608" s="419" t="s">
        <v>994</v>
      </c>
      <c r="V608" s="418">
        <v>0.01</v>
      </c>
      <c r="W608" s="420">
        <v>1</v>
      </c>
      <c r="X608" s="420">
        <v>1</v>
      </c>
      <c r="Y608" s="418">
        <v>0.01</v>
      </c>
      <c r="Z608" s="418">
        <v>0.01</v>
      </c>
      <c r="AA608" s="420">
        <v>1</v>
      </c>
      <c r="AB608" s="420">
        <v>2</v>
      </c>
      <c r="AC608" s="418">
        <v>0.01</v>
      </c>
      <c r="AD608" s="768"/>
      <c r="AE608" s="756"/>
      <c r="AF608" s="756"/>
      <c r="AG608" s="756"/>
      <c r="AH608" s="717"/>
      <c r="AI608" s="717"/>
      <c r="AJ608" s="735"/>
      <c r="AK608" s="735"/>
      <c r="AL608" s="717"/>
      <c r="AM608" s="735"/>
      <c r="AN608" s="717"/>
      <c r="AO608" s="717"/>
      <c r="AP608" s="717"/>
      <c r="AQ608" s="717"/>
      <c r="AR608" s="717"/>
      <c r="AS608" s="717"/>
      <c r="AT608" s="190" t="s">
        <v>131</v>
      </c>
      <c r="AU608" s="203">
        <f>+AU607*$H$607</f>
        <v>0</v>
      </c>
      <c r="AV608" s="203">
        <f t="shared" ref="AV608:BB608" si="476">+AV607*$H$607</f>
        <v>0</v>
      </c>
      <c r="AW608" s="203">
        <f t="shared" si="476"/>
        <v>0</v>
      </c>
      <c r="AX608" s="203">
        <f t="shared" si="476"/>
        <v>0</v>
      </c>
      <c r="AY608" s="203">
        <f t="shared" si="476"/>
        <v>0</v>
      </c>
      <c r="AZ608" s="203">
        <f t="shared" si="476"/>
        <v>0</v>
      </c>
      <c r="BA608" s="203">
        <f t="shared" si="476"/>
        <v>0</v>
      </c>
      <c r="BB608" s="203">
        <f t="shared" si="476"/>
        <v>0</v>
      </c>
      <c r="BC608" s="579"/>
      <c r="BD608" s="609"/>
      <c r="BE608" s="117"/>
      <c r="BF608" s="118"/>
    </row>
    <row r="609" spans="1:58" s="120" customFormat="1" ht="24.95" customHeight="1" x14ac:dyDescent="0.25">
      <c r="A609" s="675"/>
      <c r="B609" s="664"/>
      <c r="C609" s="665"/>
      <c r="D609" s="817"/>
      <c r="E609" s="689"/>
      <c r="F609" s="759"/>
      <c r="G609" s="786"/>
      <c r="H609" s="777"/>
      <c r="I609" s="551"/>
      <c r="J609" s="760"/>
      <c r="K609" s="772"/>
      <c r="L609" s="772"/>
      <c r="M609" s="724"/>
      <c r="N609" s="775"/>
      <c r="O609" s="724"/>
      <c r="P609" s="778"/>
      <c r="Q609" s="763"/>
      <c r="R609" s="763"/>
      <c r="S609" s="763"/>
      <c r="T609" s="766"/>
      <c r="U609" s="172" t="s">
        <v>96</v>
      </c>
      <c r="V609" s="197">
        <f t="shared" ref="V609:AB609" si="477">IF((V607/V608)&lt;$I$8,(V607/V608),IF((V607/V608)&lt;$J$8,(V607/V608),IF((V607/V608)&lt;$J$9,(V607/V608),IF((V607/V608)&gt;=$J$9,$J$9))))</f>
        <v>0</v>
      </c>
      <c r="W609" s="196">
        <f t="shared" si="477"/>
        <v>0</v>
      </c>
      <c r="X609" s="196">
        <f t="shared" si="477"/>
        <v>0</v>
      </c>
      <c r="Y609" s="197">
        <f>IF((Y607/Y608)&lt;$I$8,(Y607/Y608),IF((Y607/Y608)&lt;$J$8,(Y607/Y608),IF((Y607/Y608)&lt;$J$9,(Y607/Y608),IF((Y607/Y608)&gt;=$J$9,$J$9))))</f>
        <v>0</v>
      </c>
      <c r="Z609" s="197">
        <f t="shared" si="477"/>
        <v>0</v>
      </c>
      <c r="AA609" s="196">
        <f t="shared" si="477"/>
        <v>0</v>
      </c>
      <c r="AB609" s="196">
        <f t="shared" si="477"/>
        <v>0</v>
      </c>
      <c r="AC609" s="197">
        <f>IF((AC607/AC608)&lt;$I$8,(AC607/AC608),IF((AC607/AC608)&lt;$J$8,(AC607/AC608),IF((AC607/AC608)&lt;$J$9,(AC607/AC608),IF((AC607/AC608)&gt;=$J$9,$J$9))))</f>
        <v>0</v>
      </c>
      <c r="AD609" s="769"/>
      <c r="AE609" s="757"/>
      <c r="AF609" s="757"/>
      <c r="AG609" s="757"/>
      <c r="AH609" s="718"/>
      <c r="AI609" s="718"/>
      <c r="AJ609" s="735"/>
      <c r="AK609" s="735"/>
      <c r="AL609" s="718"/>
      <c r="AM609" s="735"/>
      <c r="AN609" s="718"/>
      <c r="AO609" s="718"/>
      <c r="AP609" s="718"/>
      <c r="AQ609" s="718"/>
      <c r="AR609" s="718"/>
      <c r="AS609" s="718"/>
      <c r="AT609" s="190" t="s">
        <v>132</v>
      </c>
      <c r="AU609" s="575"/>
      <c r="AV609" s="576"/>
      <c r="AW609" s="576"/>
      <c r="AX609" s="576"/>
      <c r="AY609" s="576"/>
      <c r="AZ609" s="576"/>
      <c r="BA609" s="576"/>
      <c r="BB609" s="577"/>
      <c r="BC609" s="579"/>
      <c r="BD609" s="609"/>
      <c r="BE609" s="117"/>
      <c r="BF609" s="118"/>
    </row>
    <row r="610" spans="1:58" s="120" customFormat="1" ht="54.95" customHeight="1" x14ac:dyDescent="0.25">
      <c r="A610" s="675"/>
      <c r="B610" s="664"/>
      <c r="C610" s="665">
        <v>21</v>
      </c>
      <c r="D610" s="817"/>
      <c r="E610" s="689"/>
      <c r="F610" s="759"/>
      <c r="G610" s="786"/>
      <c r="H610" s="776">
        <v>0.1</v>
      </c>
      <c r="I610" s="785" t="s">
        <v>995</v>
      </c>
      <c r="J610" s="782">
        <v>1</v>
      </c>
      <c r="K610" s="770" t="s">
        <v>996</v>
      </c>
      <c r="L610" s="722" t="s">
        <v>997</v>
      </c>
      <c r="M610" s="722" t="str">
        <f>CONCATENATE(U610,$U$1,U611)</f>
        <v>No. de procedimientos revisados, publicados y socializadosNo. de procedimientos revisados y actualizados</v>
      </c>
      <c r="N610" s="773" t="s">
        <v>998</v>
      </c>
      <c r="O610" s="722" t="s">
        <v>919</v>
      </c>
      <c r="P610" s="776">
        <v>0.1</v>
      </c>
      <c r="Q610" s="758">
        <v>0.95</v>
      </c>
      <c r="R610" s="719">
        <v>1</v>
      </c>
      <c r="S610" s="719">
        <v>1</v>
      </c>
      <c r="T610" s="764" t="s">
        <v>151</v>
      </c>
      <c r="U610" s="417" t="s">
        <v>999</v>
      </c>
      <c r="V610" s="424"/>
      <c r="W610" s="424"/>
      <c r="X610" s="424"/>
      <c r="Y610" s="424"/>
      <c r="Z610" s="425"/>
      <c r="AA610" s="425"/>
      <c r="AB610" s="425"/>
      <c r="AC610" s="425"/>
      <c r="AD610" s="767">
        <f>+AE610+AF610+AG610</f>
        <v>0</v>
      </c>
      <c r="AE610" s="755">
        <v>0</v>
      </c>
      <c r="AF610" s="755">
        <v>0</v>
      </c>
      <c r="AG610" s="755">
        <v>0</v>
      </c>
      <c r="AH610" s="716" t="s">
        <v>921</v>
      </c>
      <c r="AI610" s="716" t="s">
        <v>921</v>
      </c>
      <c r="AJ610" s="735" t="s">
        <v>94</v>
      </c>
      <c r="AK610" s="735"/>
      <c r="AL610" s="735"/>
      <c r="AM610" s="735"/>
      <c r="AN610" s="716"/>
      <c r="AO610" s="716" t="s">
        <v>94</v>
      </c>
      <c r="AP610" s="716"/>
      <c r="AQ610" s="716" t="s">
        <v>94</v>
      </c>
      <c r="AR610" s="716"/>
      <c r="AS610" s="716"/>
      <c r="AT610" s="190" t="s">
        <v>129</v>
      </c>
      <c r="AU610" s="203">
        <f t="shared" ref="AU610:BB610" si="478">+V612*$J$610</f>
        <v>0</v>
      </c>
      <c r="AV610" s="203">
        <f t="shared" si="478"/>
        <v>0</v>
      </c>
      <c r="AW610" s="203">
        <f t="shared" si="478"/>
        <v>0</v>
      </c>
      <c r="AX610" s="203">
        <f t="shared" si="478"/>
        <v>0</v>
      </c>
      <c r="AY610" s="203">
        <f t="shared" si="478"/>
        <v>0</v>
      </c>
      <c r="AZ610" s="203">
        <f t="shared" si="478"/>
        <v>0</v>
      </c>
      <c r="BA610" s="203">
        <f t="shared" si="478"/>
        <v>0</v>
      </c>
      <c r="BB610" s="203">
        <f t="shared" si="478"/>
        <v>0</v>
      </c>
      <c r="BC610" s="579"/>
      <c r="BD610" s="609"/>
      <c r="BE610" s="117"/>
      <c r="BF610" s="118"/>
    </row>
    <row r="611" spans="1:58" s="120" customFormat="1" ht="54.95" customHeight="1" x14ac:dyDescent="0.25">
      <c r="A611" s="675"/>
      <c r="B611" s="664"/>
      <c r="C611" s="665"/>
      <c r="D611" s="817"/>
      <c r="E611" s="689"/>
      <c r="F611" s="759"/>
      <c r="G611" s="786"/>
      <c r="H611" s="777"/>
      <c r="I611" s="786"/>
      <c r="J611" s="783"/>
      <c r="K611" s="771"/>
      <c r="L611" s="723"/>
      <c r="M611" s="723"/>
      <c r="N611" s="774"/>
      <c r="O611" s="723"/>
      <c r="P611" s="777"/>
      <c r="Q611" s="759"/>
      <c r="R611" s="719"/>
      <c r="S611" s="719"/>
      <c r="T611" s="765"/>
      <c r="U611" s="426" t="s">
        <v>1000</v>
      </c>
      <c r="V611" s="420">
        <v>1</v>
      </c>
      <c r="W611" s="420">
        <v>2</v>
      </c>
      <c r="X611" s="420">
        <v>3</v>
      </c>
      <c r="Y611" s="420">
        <v>5</v>
      </c>
      <c r="Z611" s="420">
        <v>1</v>
      </c>
      <c r="AA611" s="420">
        <v>3</v>
      </c>
      <c r="AB611" s="420">
        <v>6</v>
      </c>
      <c r="AC611" s="420">
        <v>11</v>
      </c>
      <c r="AD611" s="768"/>
      <c r="AE611" s="756"/>
      <c r="AF611" s="756"/>
      <c r="AG611" s="756"/>
      <c r="AH611" s="717"/>
      <c r="AI611" s="717"/>
      <c r="AJ611" s="735"/>
      <c r="AK611" s="735"/>
      <c r="AL611" s="735"/>
      <c r="AM611" s="735"/>
      <c r="AN611" s="717"/>
      <c r="AO611" s="717"/>
      <c r="AP611" s="717"/>
      <c r="AQ611" s="717"/>
      <c r="AR611" s="717"/>
      <c r="AS611" s="717"/>
      <c r="AT611" s="190" t="s">
        <v>131</v>
      </c>
      <c r="AU611" s="203">
        <f>+AU610*$H$610</f>
        <v>0</v>
      </c>
      <c r="AV611" s="203">
        <f t="shared" ref="AV611:BB611" si="479">+AV610*$H$610</f>
        <v>0</v>
      </c>
      <c r="AW611" s="203">
        <f t="shared" si="479"/>
        <v>0</v>
      </c>
      <c r="AX611" s="203">
        <f t="shared" si="479"/>
        <v>0</v>
      </c>
      <c r="AY611" s="203">
        <f t="shared" si="479"/>
        <v>0</v>
      </c>
      <c r="AZ611" s="203">
        <f t="shared" si="479"/>
        <v>0</v>
      </c>
      <c r="BA611" s="203">
        <f t="shared" si="479"/>
        <v>0</v>
      </c>
      <c r="BB611" s="203">
        <f t="shared" si="479"/>
        <v>0</v>
      </c>
      <c r="BC611" s="579"/>
      <c r="BD611" s="609"/>
      <c r="BE611" s="117"/>
      <c r="BF611" s="118"/>
    </row>
    <row r="612" spans="1:58" s="120" customFormat="1" ht="24.95" customHeight="1" x14ac:dyDescent="0.25">
      <c r="A612" s="675"/>
      <c r="B612" s="664"/>
      <c r="C612" s="665"/>
      <c r="D612" s="817"/>
      <c r="E612" s="689"/>
      <c r="F612" s="759"/>
      <c r="G612" s="786"/>
      <c r="H612" s="777"/>
      <c r="I612" s="787"/>
      <c r="J612" s="784"/>
      <c r="K612" s="772"/>
      <c r="L612" s="724"/>
      <c r="M612" s="724"/>
      <c r="N612" s="775"/>
      <c r="O612" s="724"/>
      <c r="P612" s="778"/>
      <c r="Q612" s="760"/>
      <c r="R612" s="719"/>
      <c r="S612" s="719"/>
      <c r="T612" s="766"/>
      <c r="U612" s="172" t="s">
        <v>96</v>
      </c>
      <c r="V612" s="196">
        <f t="shared" ref="V612:AC612" si="480">IF((V610/V611)&lt;$I$8,(V610/V611),IF((V610/V611)&lt;$J$8,(V610/V611),IF((V610/V611)&lt;$J$9,(V610/V611),IF((V610/V611)&gt;=$J$9,$J$9))))</f>
        <v>0</v>
      </c>
      <c r="W612" s="196">
        <f t="shared" si="480"/>
        <v>0</v>
      </c>
      <c r="X612" s="196">
        <f t="shared" si="480"/>
        <v>0</v>
      </c>
      <c r="Y612" s="196">
        <f t="shared" si="480"/>
        <v>0</v>
      </c>
      <c r="Z612" s="196">
        <f t="shared" si="480"/>
        <v>0</v>
      </c>
      <c r="AA612" s="196">
        <f t="shared" si="480"/>
        <v>0</v>
      </c>
      <c r="AB612" s="196">
        <f t="shared" si="480"/>
        <v>0</v>
      </c>
      <c r="AC612" s="196">
        <f t="shared" si="480"/>
        <v>0</v>
      </c>
      <c r="AD612" s="769"/>
      <c r="AE612" s="757"/>
      <c r="AF612" s="757"/>
      <c r="AG612" s="757"/>
      <c r="AH612" s="718"/>
      <c r="AI612" s="718"/>
      <c r="AJ612" s="735"/>
      <c r="AK612" s="735"/>
      <c r="AL612" s="735"/>
      <c r="AM612" s="735"/>
      <c r="AN612" s="718"/>
      <c r="AO612" s="718"/>
      <c r="AP612" s="718"/>
      <c r="AQ612" s="718"/>
      <c r="AR612" s="718"/>
      <c r="AS612" s="718"/>
      <c r="AT612" s="190" t="s">
        <v>132</v>
      </c>
      <c r="AU612" s="575"/>
      <c r="AV612" s="576"/>
      <c r="AW612" s="576"/>
      <c r="AX612" s="576"/>
      <c r="AY612" s="576"/>
      <c r="AZ612" s="576"/>
      <c r="BA612" s="576"/>
      <c r="BB612" s="577"/>
      <c r="BC612" s="579"/>
      <c r="BD612" s="609"/>
      <c r="BE612" s="117"/>
      <c r="BF612" s="118"/>
    </row>
    <row r="613" spans="1:58" s="120" customFormat="1" ht="35.1" customHeight="1" x14ac:dyDescent="0.25">
      <c r="A613" s="675"/>
      <c r="B613" s="664"/>
      <c r="C613" s="665">
        <v>22</v>
      </c>
      <c r="D613" s="817"/>
      <c r="E613" s="689"/>
      <c r="F613" s="759"/>
      <c r="G613" s="786"/>
      <c r="H613" s="776">
        <v>0.1</v>
      </c>
      <c r="I613" s="779" t="s">
        <v>1001</v>
      </c>
      <c r="J613" s="782">
        <v>1</v>
      </c>
      <c r="K613" s="770" t="s">
        <v>1002</v>
      </c>
      <c r="L613" s="722" t="s">
        <v>1003</v>
      </c>
      <c r="M613" s="722" t="str">
        <f>CONCATENATE(U613,$U$1,U614)</f>
        <v>% de ejecución presupuestal de inversión y funcionamiento (SIIF)% de programación presupuestal de inversión y funcionamiento (plan anual de adquisiciones)</v>
      </c>
      <c r="N613" s="773" t="s">
        <v>1004</v>
      </c>
      <c r="O613" s="722" t="s">
        <v>919</v>
      </c>
      <c r="P613" s="776">
        <v>0.1</v>
      </c>
      <c r="Q613" s="758">
        <v>0.8</v>
      </c>
      <c r="R613" s="761">
        <v>1</v>
      </c>
      <c r="S613" s="761">
        <v>1</v>
      </c>
      <c r="T613" s="764" t="s">
        <v>151</v>
      </c>
      <c r="U613" s="164" t="s">
        <v>1005</v>
      </c>
      <c r="V613" s="427"/>
      <c r="W613" s="428"/>
      <c r="X613" s="428"/>
      <c r="Y613" s="428"/>
      <c r="Z613" s="429"/>
      <c r="AA613" s="429"/>
      <c r="AB613" s="429"/>
      <c r="AC613" s="429"/>
      <c r="AD613" s="767">
        <f>+AE613+AF613+AG613</f>
        <v>0</v>
      </c>
      <c r="AE613" s="755">
        <v>0</v>
      </c>
      <c r="AF613" s="755">
        <v>0</v>
      </c>
      <c r="AG613" s="755">
        <v>0</v>
      </c>
      <c r="AH613" s="716" t="s">
        <v>921</v>
      </c>
      <c r="AI613" s="716" t="s">
        <v>921</v>
      </c>
      <c r="AJ613" s="735" t="s">
        <v>94</v>
      </c>
      <c r="AK613" s="735"/>
      <c r="AL613" s="735"/>
      <c r="AM613" s="735"/>
      <c r="AN613" s="716" t="s">
        <v>94</v>
      </c>
      <c r="AO613" s="716"/>
      <c r="AP613" s="716"/>
      <c r="AQ613" s="716" t="s">
        <v>94</v>
      </c>
      <c r="AR613" s="716"/>
      <c r="AS613" s="716"/>
      <c r="AT613" s="190" t="s">
        <v>129</v>
      </c>
      <c r="AU613" s="203">
        <f t="shared" ref="AU613:BB613" si="481">+V615*$J$613</f>
        <v>0</v>
      </c>
      <c r="AV613" s="203">
        <f t="shared" si="481"/>
        <v>0</v>
      </c>
      <c r="AW613" s="203">
        <f t="shared" si="481"/>
        <v>0</v>
      </c>
      <c r="AX613" s="203">
        <f t="shared" si="481"/>
        <v>0</v>
      </c>
      <c r="AY613" s="203">
        <f t="shared" si="481"/>
        <v>0</v>
      </c>
      <c r="AZ613" s="203">
        <f t="shared" si="481"/>
        <v>0</v>
      </c>
      <c r="BA613" s="203">
        <f t="shared" si="481"/>
        <v>0</v>
      </c>
      <c r="BB613" s="203">
        <f t="shared" si="481"/>
        <v>0</v>
      </c>
      <c r="BC613" s="579"/>
      <c r="BD613" s="609"/>
      <c r="BE613" s="117"/>
      <c r="BF613" s="118"/>
    </row>
    <row r="614" spans="1:58" s="120" customFormat="1" ht="35.1" customHeight="1" x14ac:dyDescent="0.25">
      <c r="A614" s="675"/>
      <c r="B614" s="664"/>
      <c r="C614" s="665"/>
      <c r="D614" s="817"/>
      <c r="E614" s="689"/>
      <c r="F614" s="759"/>
      <c r="G614" s="786"/>
      <c r="H614" s="777"/>
      <c r="I614" s="780"/>
      <c r="J614" s="783"/>
      <c r="K614" s="771"/>
      <c r="L614" s="723"/>
      <c r="M614" s="723"/>
      <c r="N614" s="774"/>
      <c r="O614" s="723"/>
      <c r="P614" s="777"/>
      <c r="Q614" s="759"/>
      <c r="R614" s="762"/>
      <c r="S614" s="762"/>
      <c r="T614" s="765"/>
      <c r="U614" s="176" t="s">
        <v>1006</v>
      </c>
      <c r="V614" s="387">
        <v>3.3300000000000003E-2</v>
      </c>
      <c r="W614" s="387">
        <v>0.1769</v>
      </c>
      <c r="X614" s="387">
        <v>0.39879999999999999</v>
      </c>
      <c r="Y614" s="387">
        <v>0.39100000000000001</v>
      </c>
      <c r="Z614" s="387">
        <f>+V614</f>
        <v>3.3300000000000003E-2</v>
      </c>
      <c r="AA614" s="387">
        <f>+V614+W614</f>
        <v>0.2102</v>
      </c>
      <c r="AB614" s="387">
        <f>+X614+W614+V614</f>
        <v>0.60899999999999999</v>
      </c>
      <c r="AC614" s="387">
        <f>+Y614+X614+W614+V614</f>
        <v>1.0000000000000002</v>
      </c>
      <c r="AD614" s="768"/>
      <c r="AE614" s="756"/>
      <c r="AF614" s="756"/>
      <c r="AG614" s="756"/>
      <c r="AH614" s="717"/>
      <c r="AI614" s="717"/>
      <c r="AJ614" s="735"/>
      <c r="AK614" s="735"/>
      <c r="AL614" s="735"/>
      <c r="AM614" s="735"/>
      <c r="AN614" s="717"/>
      <c r="AO614" s="717"/>
      <c r="AP614" s="717"/>
      <c r="AQ614" s="717"/>
      <c r="AR614" s="717"/>
      <c r="AS614" s="717"/>
      <c r="AT614" s="190" t="s">
        <v>131</v>
      </c>
      <c r="AU614" s="203">
        <f>+AU613*$H$613</f>
        <v>0</v>
      </c>
      <c r="AV614" s="203">
        <f t="shared" ref="AV614:BB614" si="482">+AV613*$H$613</f>
        <v>0</v>
      </c>
      <c r="AW614" s="203">
        <f t="shared" si="482"/>
        <v>0</v>
      </c>
      <c r="AX614" s="203">
        <f t="shared" si="482"/>
        <v>0</v>
      </c>
      <c r="AY614" s="203">
        <f t="shared" si="482"/>
        <v>0</v>
      </c>
      <c r="AZ614" s="203">
        <f t="shared" si="482"/>
        <v>0</v>
      </c>
      <c r="BA614" s="203">
        <f t="shared" si="482"/>
        <v>0</v>
      </c>
      <c r="BB614" s="203">
        <f t="shared" si="482"/>
        <v>0</v>
      </c>
      <c r="BC614" s="579"/>
      <c r="BD614" s="609"/>
      <c r="BE614" s="117"/>
      <c r="BF614" s="118"/>
    </row>
    <row r="615" spans="1:58" s="120" customFormat="1" ht="24.95" customHeight="1" thickBot="1" x14ac:dyDescent="0.3">
      <c r="A615" s="675"/>
      <c r="B615" s="664"/>
      <c r="C615" s="665"/>
      <c r="D615" s="818"/>
      <c r="E615" s="690"/>
      <c r="F615" s="760"/>
      <c r="G615" s="787"/>
      <c r="H615" s="778"/>
      <c r="I615" s="781"/>
      <c r="J615" s="784"/>
      <c r="K615" s="772"/>
      <c r="L615" s="724"/>
      <c r="M615" s="724"/>
      <c r="N615" s="775"/>
      <c r="O615" s="724"/>
      <c r="P615" s="778"/>
      <c r="Q615" s="760"/>
      <c r="R615" s="763"/>
      <c r="S615" s="763"/>
      <c r="T615" s="766"/>
      <c r="U615" s="172" t="s">
        <v>96</v>
      </c>
      <c r="V615" s="196">
        <f t="shared" ref="V615:AC615" si="483">IF((V613/V614)&lt;$I$8,(V613/V614),IF((V613/V614)&lt;$J$8,(V613/V614),IF((V613/V614)&lt;$J$9,(V613/V614),IF((V613/V614)&gt;=$J$9,$J$9))))</f>
        <v>0</v>
      </c>
      <c r="W615" s="196">
        <f t="shared" si="483"/>
        <v>0</v>
      </c>
      <c r="X615" s="196">
        <f t="shared" si="483"/>
        <v>0</v>
      </c>
      <c r="Y615" s="196">
        <f t="shared" si="483"/>
        <v>0</v>
      </c>
      <c r="Z615" s="196">
        <f t="shared" si="483"/>
        <v>0</v>
      </c>
      <c r="AA615" s="196">
        <f t="shared" si="483"/>
        <v>0</v>
      </c>
      <c r="AB615" s="196">
        <f t="shared" si="483"/>
        <v>0</v>
      </c>
      <c r="AC615" s="196">
        <f t="shared" si="483"/>
        <v>0</v>
      </c>
      <c r="AD615" s="769"/>
      <c r="AE615" s="757"/>
      <c r="AF615" s="757"/>
      <c r="AG615" s="757"/>
      <c r="AH615" s="718"/>
      <c r="AI615" s="718"/>
      <c r="AJ615" s="735"/>
      <c r="AK615" s="735"/>
      <c r="AL615" s="735"/>
      <c r="AM615" s="735"/>
      <c r="AN615" s="718"/>
      <c r="AO615" s="718"/>
      <c r="AP615" s="718"/>
      <c r="AQ615" s="718"/>
      <c r="AR615" s="718"/>
      <c r="AS615" s="718"/>
      <c r="AT615" s="190" t="s">
        <v>132</v>
      </c>
      <c r="AU615" s="575"/>
      <c r="AV615" s="576"/>
      <c r="AW615" s="576"/>
      <c r="AX615" s="576"/>
      <c r="AY615" s="576"/>
      <c r="AZ615" s="576"/>
      <c r="BA615" s="576"/>
      <c r="BB615" s="577"/>
      <c r="BC615" s="580"/>
      <c r="BD615" s="610"/>
      <c r="BE615" s="117"/>
      <c r="BF615" s="118"/>
    </row>
    <row r="616" spans="1:58" s="159" customFormat="1" ht="24.95" hidden="1" customHeight="1" x14ac:dyDescent="0.25">
      <c r="A616" s="44"/>
      <c r="B616" s="151"/>
      <c r="C616" s="178">
        <f>+C613+C537</f>
        <v>129</v>
      </c>
      <c r="D616" s="144"/>
      <c r="E616" s="67"/>
      <c r="F616" s="154"/>
      <c r="G616" s="154"/>
      <c r="H616" s="154"/>
      <c r="I616" s="154"/>
      <c r="J616" s="154"/>
      <c r="K616" s="155"/>
      <c r="L616" s="155"/>
      <c r="M616" s="155"/>
      <c r="N616" s="155"/>
      <c r="O616" s="155"/>
      <c r="P616" s="154"/>
      <c r="Q616" s="154"/>
      <c r="R616" s="154"/>
      <c r="S616" s="154"/>
      <c r="T616" s="154"/>
      <c r="U616" s="214"/>
      <c r="V616" s="157"/>
      <c r="W616" s="157"/>
      <c r="X616" s="157"/>
      <c r="Y616" s="157"/>
      <c r="Z616" s="157"/>
      <c r="AA616" s="157"/>
      <c r="AB616" s="157"/>
      <c r="AC616" s="157"/>
      <c r="AD616" s="158"/>
      <c r="AE616" s="157"/>
      <c r="AF616" s="157"/>
      <c r="AG616" s="157"/>
      <c r="AH616" s="157"/>
      <c r="AI616" s="157"/>
      <c r="AJ616" s="145">
        <f>COUNTA(AJ550:AJ615)</f>
        <v>22</v>
      </c>
      <c r="AK616" s="145">
        <f t="shared" ref="AK616:AS616" si="484">COUNTA(AK550:AK615)</f>
        <v>0</v>
      </c>
      <c r="AL616" s="145">
        <f t="shared" si="484"/>
        <v>8</v>
      </c>
      <c r="AM616" s="145">
        <f t="shared" si="484"/>
        <v>0</v>
      </c>
      <c r="AN616" s="145">
        <f t="shared" si="484"/>
        <v>9</v>
      </c>
      <c r="AO616" s="145">
        <f t="shared" si="484"/>
        <v>2</v>
      </c>
      <c r="AP616" s="145">
        <f t="shared" si="484"/>
        <v>11</v>
      </c>
      <c r="AQ616" s="145">
        <v>11</v>
      </c>
      <c r="AR616" s="145">
        <f t="shared" si="484"/>
        <v>1</v>
      </c>
      <c r="AS616" s="145">
        <f t="shared" si="484"/>
        <v>7</v>
      </c>
      <c r="AT616" s="157"/>
      <c r="AU616" s="430">
        <f>+AU552+AU573</f>
        <v>0</v>
      </c>
      <c r="AV616" s="430">
        <f t="shared" ref="AV616:BB616" si="485">+AV552+AV573</f>
        <v>0</v>
      </c>
      <c r="AW616" s="430">
        <f t="shared" si="485"/>
        <v>0</v>
      </c>
      <c r="AX616" s="430">
        <f t="shared" si="485"/>
        <v>0</v>
      </c>
      <c r="AY616" s="430">
        <f t="shared" si="485"/>
        <v>0</v>
      </c>
      <c r="AZ616" s="430">
        <f t="shared" si="485"/>
        <v>0</v>
      </c>
      <c r="BA616" s="430">
        <f t="shared" si="485"/>
        <v>0</v>
      </c>
      <c r="BB616" s="430">
        <f t="shared" si="485"/>
        <v>0</v>
      </c>
      <c r="BC616" s="157"/>
      <c r="BD616" s="157"/>
      <c r="BE616" s="49"/>
      <c r="BF616" s="49"/>
    </row>
    <row r="617" spans="1:58" s="159" customFormat="1" ht="20.100000000000001" hidden="1" customHeight="1" x14ac:dyDescent="0.25">
      <c r="A617" s="271"/>
      <c r="B617" s="272"/>
      <c r="C617" s="431"/>
      <c r="D617" s="432"/>
      <c r="E617" s="432"/>
      <c r="F617" s="154"/>
      <c r="G617" s="154"/>
      <c r="H617" s="154"/>
      <c r="I617" s="155"/>
      <c r="J617" s="154"/>
      <c r="K617" s="155"/>
      <c r="L617" s="155"/>
      <c r="M617" s="155"/>
      <c r="N617" s="155"/>
      <c r="O617" s="155"/>
      <c r="P617" s="155"/>
      <c r="Q617" s="646" t="s">
        <v>154</v>
      </c>
      <c r="R617" s="646"/>
      <c r="S617" s="646"/>
      <c r="T617" s="646"/>
      <c r="U617" s="646"/>
      <c r="V617" s="156">
        <v>6</v>
      </c>
      <c r="W617" s="156">
        <v>12</v>
      </c>
      <c r="X617" s="156">
        <v>14</v>
      </c>
      <c r="Y617" s="156">
        <f>+C613</f>
        <v>22</v>
      </c>
      <c r="Z617" s="157"/>
      <c r="AA617" s="157"/>
      <c r="AB617" s="157"/>
      <c r="AC617" s="157"/>
      <c r="AD617" s="158"/>
      <c r="AE617" s="157"/>
      <c r="AF617" s="157"/>
      <c r="AG617" s="157"/>
      <c r="AH617" s="157"/>
      <c r="AI617" s="157"/>
      <c r="AJ617" s="157"/>
      <c r="AK617" s="157"/>
      <c r="AL617" s="157"/>
      <c r="AM617" s="157"/>
      <c r="AN617" s="157"/>
      <c r="AO617" s="157"/>
      <c r="AP617" s="157"/>
      <c r="AQ617" s="157"/>
      <c r="AR617" s="157"/>
      <c r="AS617" s="157"/>
      <c r="AT617" s="157"/>
      <c r="AU617" s="49"/>
      <c r="AV617" s="49"/>
      <c r="AW617" s="49"/>
      <c r="AX617" s="49"/>
      <c r="AY617" s="49"/>
      <c r="AZ617" s="49"/>
      <c r="BA617" s="49"/>
      <c r="BB617" s="49"/>
      <c r="BC617" s="49"/>
      <c r="BD617" s="49"/>
      <c r="BE617" s="49"/>
      <c r="BF617" s="49"/>
    </row>
    <row r="618" spans="1:58" ht="20.100000000000001" hidden="1" customHeight="1" x14ac:dyDescent="0.25">
      <c r="A618" s="271"/>
      <c r="B618" s="272"/>
      <c r="C618" s="431"/>
      <c r="D618" s="432"/>
      <c r="E618" s="432"/>
      <c r="F618" s="154"/>
      <c r="G618" s="154"/>
      <c r="H618" s="154"/>
      <c r="I618" s="155"/>
      <c r="J618" s="154"/>
      <c r="K618" s="155"/>
      <c r="L618" s="155"/>
      <c r="M618" s="155"/>
      <c r="N618" s="155"/>
      <c r="O618" s="155"/>
      <c r="P618" s="155"/>
      <c r="Q618" s="646" t="s">
        <v>155</v>
      </c>
      <c r="R618" s="646"/>
      <c r="S618" s="646"/>
      <c r="T618" s="646"/>
      <c r="U618" s="646"/>
      <c r="V618" s="161">
        <f>1+5</f>
        <v>6</v>
      </c>
      <c r="W618" s="161">
        <f>5+7</f>
        <v>12</v>
      </c>
      <c r="X618" s="161"/>
      <c r="Y618" s="161"/>
      <c r="Z618" s="157"/>
      <c r="AA618" s="157"/>
      <c r="AB618" s="157"/>
      <c r="AC618" s="157"/>
      <c r="AD618" s="158"/>
      <c r="AE618" s="157"/>
      <c r="AF618" s="157"/>
      <c r="AG618" s="157"/>
      <c r="AH618" s="157"/>
      <c r="AI618" s="157"/>
      <c r="AJ618" s="157"/>
      <c r="AK618" s="157"/>
      <c r="AL618" s="157"/>
      <c r="AM618" s="157"/>
      <c r="AN618" s="157"/>
      <c r="AO618" s="157"/>
      <c r="AP618" s="157"/>
      <c r="AQ618" s="157"/>
      <c r="AR618" s="157"/>
      <c r="AS618" s="157"/>
      <c r="AT618" s="157"/>
      <c r="AU618" s="48"/>
      <c r="AV618" s="48"/>
      <c r="AW618" s="48"/>
      <c r="AX618" s="48"/>
      <c r="AY618" s="48"/>
      <c r="AZ618" s="48"/>
      <c r="BA618" s="48"/>
      <c r="BB618" s="48"/>
      <c r="BC618" s="48"/>
      <c r="BD618" s="48"/>
      <c r="BE618" s="48"/>
      <c r="BF618" s="49"/>
    </row>
    <row r="619" spans="1:58" ht="20.100000000000001" hidden="1" customHeight="1" x14ac:dyDescent="0.25">
      <c r="A619" s="271"/>
      <c r="B619" s="272"/>
      <c r="C619" s="107"/>
      <c r="D619" s="432"/>
      <c r="E619" s="432"/>
      <c r="F619" s="154"/>
      <c r="G619" s="154"/>
      <c r="H619" s="154"/>
      <c r="I619" s="155"/>
      <c r="J619" s="154"/>
      <c r="K619" s="155"/>
      <c r="L619" s="155"/>
      <c r="M619" s="155"/>
      <c r="N619" s="155"/>
      <c r="O619" s="155"/>
      <c r="P619" s="155"/>
      <c r="Q619" s="646" t="s">
        <v>156</v>
      </c>
      <c r="R619" s="646"/>
      <c r="S619" s="646"/>
      <c r="T619" s="646"/>
      <c r="U619" s="646"/>
      <c r="V619" s="161">
        <v>0</v>
      </c>
      <c r="W619" s="161">
        <v>5</v>
      </c>
      <c r="X619" s="161"/>
      <c r="Y619" s="161"/>
      <c r="Z619" s="157"/>
      <c r="AA619" s="157"/>
      <c r="AB619" s="157"/>
      <c r="AC619" s="157"/>
      <c r="AD619" s="158"/>
      <c r="AE619" s="157"/>
      <c r="AF619" s="157"/>
      <c r="AG619" s="157"/>
      <c r="AH619" s="157"/>
      <c r="AI619" s="157"/>
      <c r="AJ619" s="157"/>
      <c r="AK619" s="157"/>
      <c r="AL619" s="157"/>
      <c r="AM619" s="157"/>
      <c r="AN619" s="157"/>
      <c r="AO619" s="157"/>
      <c r="AP619" s="157"/>
      <c r="AQ619" s="157"/>
      <c r="AR619" s="157"/>
      <c r="AS619" s="157"/>
      <c r="AT619" s="157"/>
      <c r="AU619" s="48"/>
      <c r="AV619" s="48"/>
      <c r="AW619" s="48"/>
      <c r="AX619" s="48"/>
      <c r="AY619" s="48"/>
      <c r="AZ619" s="48"/>
      <c r="BA619" s="48"/>
      <c r="BB619" s="48"/>
      <c r="BC619" s="48"/>
      <c r="BD619" s="48"/>
      <c r="BE619" s="48"/>
      <c r="BF619" s="49"/>
    </row>
    <row r="620" spans="1:58" ht="20.100000000000001" hidden="1" customHeight="1" x14ac:dyDescent="0.25">
      <c r="A620" s="271"/>
      <c r="B620" s="272"/>
      <c r="C620" s="107"/>
      <c r="D620" s="432"/>
      <c r="E620" s="432"/>
      <c r="F620" s="154"/>
      <c r="G620" s="154"/>
      <c r="H620" s="154"/>
      <c r="I620" s="155"/>
      <c r="J620" s="154"/>
      <c r="K620" s="155"/>
      <c r="L620" s="155"/>
      <c r="M620" s="155"/>
      <c r="N620" s="155"/>
      <c r="O620" s="155"/>
      <c r="P620" s="155"/>
      <c r="Q620" s="646" t="s">
        <v>157</v>
      </c>
      <c r="R620" s="646"/>
      <c r="S620" s="646"/>
      <c r="T620" s="646"/>
      <c r="U620" s="647"/>
      <c r="V620" s="161">
        <f>+V617-V618</f>
        <v>0</v>
      </c>
      <c r="W620" s="161">
        <f>+W617-W618</f>
        <v>0</v>
      </c>
      <c r="X620" s="161">
        <f>+X617-X618</f>
        <v>14</v>
      </c>
      <c r="Y620" s="161">
        <f>+Y617-Y618</f>
        <v>22</v>
      </c>
      <c r="Z620" s="157"/>
      <c r="AA620" s="157"/>
      <c r="AB620" s="157"/>
      <c r="AC620" s="157"/>
      <c r="AD620" s="158"/>
      <c r="AE620" s="157"/>
      <c r="AF620" s="157"/>
      <c r="AG620" s="157"/>
      <c r="AH620" s="157"/>
      <c r="AI620" s="157"/>
      <c r="AJ620" s="157"/>
      <c r="AK620" s="157"/>
      <c r="AL620" s="157"/>
      <c r="AM620" s="157"/>
      <c r="AN620" s="157"/>
      <c r="AO620" s="157"/>
      <c r="AP620" s="157"/>
      <c r="AQ620" s="157"/>
      <c r="AR620" s="157"/>
      <c r="AS620" s="157"/>
      <c r="AT620" s="157"/>
      <c r="AU620" s="48"/>
      <c r="AV620" s="48"/>
      <c r="AW620" s="48"/>
      <c r="AX620" s="48"/>
      <c r="AY620" s="48"/>
      <c r="AZ620" s="48"/>
      <c r="BA620" s="48"/>
      <c r="BB620" s="48"/>
      <c r="BC620" s="48" t="s">
        <v>1007</v>
      </c>
      <c r="BD620" s="48"/>
      <c r="BE620" s="48"/>
      <c r="BF620" s="49"/>
    </row>
    <row r="621" spans="1:58" ht="20.100000000000001" hidden="1" customHeight="1" x14ac:dyDescent="0.25">
      <c r="A621" s="271"/>
      <c r="B621" s="272"/>
      <c r="C621" s="107"/>
      <c r="D621" s="273"/>
      <c r="E621" s="273"/>
      <c r="F621" s="154"/>
      <c r="G621" s="154"/>
      <c r="H621" s="154"/>
      <c r="I621" s="155"/>
      <c r="J621" s="154"/>
      <c r="K621" s="155"/>
      <c r="L621" s="155"/>
      <c r="M621" s="155"/>
      <c r="N621" s="155"/>
      <c r="O621" s="155"/>
      <c r="P621" s="155"/>
      <c r="Q621" s="646" t="s">
        <v>158</v>
      </c>
      <c r="R621" s="646"/>
      <c r="S621" s="646"/>
      <c r="T621" s="646"/>
      <c r="U621" s="646"/>
      <c r="V621" s="156">
        <f>+V617</f>
        <v>6</v>
      </c>
      <c r="W621" s="156">
        <f>+W617</f>
        <v>12</v>
      </c>
      <c r="X621" s="156">
        <f>+X617</f>
        <v>14</v>
      </c>
      <c r="Y621" s="156">
        <f>+Y617</f>
        <v>22</v>
      </c>
      <c r="Z621" s="157"/>
      <c r="AA621" s="157"/>
      <c r="AB621" s="157"/>
      <c r="AC621" s="157"/>
      <c r="AD621" s="158"/>
      <c r="AE621" s="157"/>
      <c r="AF621" s="157"/>
      <c r="AG621" s="157"/>
      <c r="AH621" s="157"/>
      <c r="AI621" s="157"/>
      <c r="AJ621" s="157"/>
      <c r="AK621" s="157"/>
      <c r="AL621" s="157"/>
      <c r="AM621" s="157"/>
      <c r="AN621" s="157"/>
      <c r="AO621" s="157"/>
      <c r="AP621" s="157"/>
      <c r="AQ621" s="157"/>
      <c r="AR621" s="157"/>
      <c r="AS621" s="157"/>
      <c r="AT621" s="157"/>
      <c r="AU621" s="48"/>
      <c r="AV621" s="48"/>
      <c r="AW621" s="48"/>
      <c r="AX621" s="48"/>
      <c r="AY621" s="48"/>
      <c r="AZ621" s="48"/>
      <c r="BA621" s="48"/>
      <c r="BB621" s="48"/>
      <c r="BC621" s="48"/>
      <c r="BD621" s="48"/>
      <c r="BE621" s="48"/>
      <c r="BF621" s="49"/>
    </row>
    <row r="622" spans="1:58" ht="20.100000000000001" hidden="1" customHeight="1" x14ac:dyDescent="0.25">
      <c r="A622" s="271"/>
      <c r="B622" s="272"/>
      <c r="C622" s="107"/>
      <c r="D622" s="273"/>
      <c r="E622" s="273"/>
      <c r="F622" s="154"/>
      <c r="G622" s="154"/>
      <c r="H622" s="154"/>
      <c r="I622" s="155"/>
      <c r="J622" s="154"/>
      <c r="K622" s="155"/>
      <c r="L622" s="155"/>
      <c r="M622" s="155"/>
      <c r="N622" s="155"/>
      <c r="O622" s="155"/>
      <c r="P622" s="155"/>
      <c r="Q622" s="646" t="s">
        <v>159</v>
      </c>
      <c r="R622" s="646"/>
      <c r="S622" s="646"/>
      <c r="T622" s="646"/>
      <c r="U622" s="646"/>
      <c r="V622" s="161">
        <v>6</v>
      </c>
      <c r="W622" s="161">
        <f>3+6</f>
        <v>9</v>
      </c>
      <c r="X622" s="161"/>
      <c r="Y622" s="161"/>
      <c r="Z622" s="157"/>
      <c r="AA622" s="157"/>
      <c r="AB622" s="157"/>
      <c r="AC622" s="157"/>
      <c r="AD622" s="158"/>
      <c r="AE622" s="157"/>
      <c r="AF622" s="157"/>
      <c r="AG622" s="157"/>
      <c r="AH622" s="157"/>
      <c r="AI622" s="157"/>
      <c r="AJ622" s="157"/>
      <c r="AK622" s="157"/>
      <c r="AL622" s="157"/>
      <c r="AM622" s="157"/>
      <c r="AN622" s="157"/>
      <c r="AO622" s="157"/>
      <c r="AP622" s="157"/>
      <c r="AQ622" s="157"/>
      <c r="AR622" s="157"/>
      <c r="AS622" s="157"/>
      <c r="AT622" s="157"/>
      <c r="AU622" s="48"/>
      <c r="AV622" s="48"/>
      <c r="AW622" s="48"/>
      <c r="AX622" s="48"/>
      <c r="AY622" s="48"/>
      <c r="AZ622" s="48"/>
      <c r="BA622" s="48"/>
      <c r="BB622" s="48"/>
      <c r="BC622" s="48"/>
      <c r="BD622" s="48"/>
      <c r="BE622" s="48"/>
      <c r="BF622" s="49"/>
    </row>
    <row r="623" spans="1:58" ht="15" hidden="1" customHeight="1" x14ac:dyDescent="0.25">
      <c r="A623" s="79"/>
      <c r="B623" s="80"/>
      <c r="C623" s="88"/>
      <c r="D623" s="82"/>
      <c r="E623" s="82"/>
      <c r="F623" s="46"/>
      <c r="G623" s="46"/>
      <c r="H623" s="46"/>
      <c r="I623" s="46"/>
      <c r="J623" s="83"/>
      <c r="K623" s="46"/>
      <c r="L623" s="46"/>
      <c r="M623" s="46"/>
      <c r="N623" s="46"/>
      <c r="O623" s="46"/>
      <c r="P623" s="46"/>
      <c r="Q623" s="46"/>
      <c r="R623" s="46"/>
      <c r="S623" s="46"/>
      <c r="T623" s="46"/>
      <c r="U623" s="46"/>
      <c r="V623" s="73"/>
      <c r="W623" s="73"/>
      <c r="X623" s="73"/>
      <c r="Y623" s="73"/>
      <c r="Z623" s="46"/>
      <c r="AA623" s="46"/>
      <c r="AB623" s="46"/>
      <c r="AC623" s="46"/>
      <c r="AD623" s="47"/>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9"/>
    </row>
    <row r="624" spans="1:58" ht="20.100000000000001" hidden="1" customHeight="1" x14ac:dyDescent="0.25">
      <c r="A624" s="79"/>
      <c r="B624" s="80"/>
      <c r="C624" s="85"/>
      <c r="D624" s="109" t="s">
        <v>103</v>
      </c>
      <c r="E624" s="82"/>
      <c r="F624" s="46"/>
      <c r="G624" s="46"/>
      <c r="H624" s="46"/>
      <c r="I624" s="46"/>
      <c r="J624" s="83"/>
      <c r="K624" s="46"/>
      <c r="L624" s="46"/>
      <c r="M624" s="46"/>
      <c r="N624" s="46"/>
      <c r="O624" s="46"/>
      <c r="P624" s="46"/>
      <c r="Q624" s="46"/>
      <c r="R624" s="46"/>
      <c r="S624" s="46"/>
      <c r="T624" s="46"/>
      <c r="U624" s="46"/>
      <c r="V624" s="42"/>
      <c r="W624" s="46"/>
      <c r="X624" s="46"/>
      <c r="Y624" s="46"/>
      <c r="Z624" s="46"/>
      <c r="AA624" s="46"/>
      <c r="AB624" s="46"/>
      <c r="AC624" s="46"/>
      <c r="AD624" s="47"/>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9"/>
    </row>
    <row r="625" spans="1:58" ht="18.75" customHeight="1" x14ac:dyDescent="0.25">
      <c r="A625" s="79"/>
      <c r="B625" s="80"/>
      <c r="C625" s="433"/>
      <c r="D625" s="745" t="s">
        <v>42</v>
      </c>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c r="AA625" s="745"/>
      <c r="AB625" s="745"/>
      <c r="AC625" s="745"/>
      <c r="AD625" s="745"/>
      <c r="AE625" s="745"/>
      <c r="AF625" s="745"/>
      <c r="AG625" s="745"/>
      <c r="AH625" s="745"/>
      <c r="AI625" s="745"/>
      <c r="AJ625" s="745"/>
      <c r="AK625" s="745"/>
      <c r="AL625" s="745"/>
      <c r="AM625" s="745"/>
      <c r="AN625" s="745"/>
      <c r="AO625" s="745"/>
      <c r="AP625" s="745"/>
      <c r="AQ625" s="745"/>
      <c r="AR625" s="745"/>
      <c r="AS625" s="745"/>
      <c r="AT625" s="561" t="s">
        <v>104</v>
      </c>
      <c r="AU625" s="563"/>
      <c r="AV625" s="563"/>
      <c r="AW625" s="563"/>
      <c r="AX625" s="563"/>
      <c r="AY625" s="563"/>
      <c r="AZ625" s="563"/>
      <c r="BA625" s="563"/>
      <c r="BB625" s="562"/>
      <c r="BC625" s="561" t="s">
        <v>105</v>
      </c>
      <c r="BD625" s="562"/>
      <c r="BE625" s="48"/>
      <c r="BF625" s="49"/>
    </row>
    <row r="626" spans="1:58" ht="15" customHeight="1" x14ac:dyDescent="0.25">
      <c r="A626" s="79"/>
      <c r="B626" s="80"/>
      <c r="C626" s="85"/>
      <c r="D626" s="691" t="s">
        <v>106</v>
      </c>
      <c r="E626" s="691" t="s">
        <v>107</v>
      </c>
      <c r="F626" s="711" t="s">
        <v>108</v>
      </c>
      <c r="G626" s="691" t="s">
        <v>109</v>
      </c>
      <c r="H626" s="711" t="s">
        <v>110</v>
      </c>
      <c r="I626" s="691" t="s">
        <v>51</v>
      </c>
      <c r="J626" s="712" t="s">
        <v>111</v>
      </c>
      <c r="K626" s="691" t="s">
        <v>52</v>
      </c>
      <c r="L626" s="691"/>
      <c r="M626" s="691"/>
      <c r="N626" s="691" t="s">
        <v>53</v>
      </c>
      <c r="O626" s="691" t="s">
        <v>54</v>
      </c>
      <c r="P626" s="703" t="s">
        <v>55</v>
      </c>
      <c r="Q626" s="703" t="s">
        <v>56</v>
      </c>
      <c r="R626" s="703" t="s">
        <v>57</v>
      </c>
      <c r="S626" s="703" t="s">
        <v>58</v>
      </c>
      <c r="T626" s="703" t="s">
        <v>59</v>
      </c>
      <c r="U626" s="691" t="s">
        <v>60</v>
      </c>
      <c r="V626" s="691"/>
      <c r="W626" s="691"/>
      <c r="X626" s="691"/>
      <c r="Y626" s="691"/>
      <c r="Z626" s="704" t="s">
        <v>61</v>
      </c>
      <c r="AA626" s="705"/>
      <c r="AB626" s="705"/>
      <c r="AC626" s="706"/>
      <c r="AD626" s="707" t="s">
        <v>62</v>
      </c>
      <c r="AE626" s="708"/>
      <c r="AF626" s="709"/>
      <c r="AG626" s="695" t="s">
        <v>63</v>
      </c>
      <c r="AH626" s="695" t="s">
        <v>64</v>
      </c>
      <c r="AI626" s="695" t="s">
        <v>65</v>
      </c>
      <c r="AJ626" s="697" t="s">
        <v>66</v>
      </c>
      <c r="AK626" s="697"/>
      <c r="AL626" s="697"/>
      <c r="AM626" s="697"/>
      <c r="AN626" s="699"/>
      <c r="AO626" s="699"/>
      <c r="AP626" s="699"/>
      <c r="AQ626" s="699"/>
      <c r="AR626" s="699"/>
      <c r="AS626" s="700"/>
      <c r="AT626" s="558" t="s">
        <v>60</v>
      </c>
      <c r="AU626" s="569" t="s">
        <v>112</v>
      </c>
      <c r="AV626" s="570"/>
      <c r="AW626" s="570"/>
      <c r="AX626" s="571"/>
      <c r="AY626" s="569" t="s">
        <v>113</v>
      </c>
      <c r="AZ626" s="570"/>
      <c r="BA626" s="570"/>
      <c r="BB626" s="571"/>
      <c r="BC626" s="584" t="s">
        <v>114</v>
      </c>
      <c r="BD626" s="587" t="s">
        <v>102</v>
      </c>
      <c r="BE626" s="48"/>
      <c r="BF626" s="49"/>
    </row>
    <row r="627" spans="1:58" ht="15" customHeight="1" x14ac:dyDescent="0.25">
      <c r="A627" s="79"/>
      <c r="B627" s="80"/>
      <c r="C627" s="85"/>
      <c r="D627" s="691"/>
      <c r="E627" s="691"/>
      <c r="F627" s="711"/>
      <c r="G627" s="691"/>
      <c r="H627" s="711"/>
      <c r="I627" s="691"/>
      <c r="J627" s="712"/>
      <c r="K627" s="691"/>
      <c r="L627" s="691"/>
      <c r="M627" s="691"/>
      <c r="N627" s="691"/>
      <c r="O627" s="691"/>
      <c r="P627" s="703"/>
      <c r="Q627" s="703"/>
      <c r="R627" s="703"/>
      <c r="S627" s="703"/>
      <c r="T627" s="703"/>
      <c r="U627" s="691" t="s">
        <v>67</v>
      </c>
      <c r="V627" s="691"/>
      <c r="W627" s="691"/>
      <c r="X627" s="691"/>
      <c r="Y627" s="691"/>
      <c r="Z627" s="692" t="s">
        <v>67</v>
      </c>
      <c r="AA627" s="693"/>
      <c r="AB627" s="693"/>
      <c r="AC627" s="694"/>
      <c r="AD627" s="695" t="s">
        <v>68</v>
      </c>
      <c r="AE627" s="695" t="s">
        <v>69</v>
      </c>
      <c r="AF627" s="695" t="s">
        <v>70</v>
      </c>
      <c r="AG627" s="696"/>
      <c r="AH627" s="696"/>
      <c r="AI627" s="696"/>
      <c r="AJ627" s="698"/>
      <c r="AK627" s="698"/>
      <c r="AL627" s="698"/>
      <c r="AM627" s="698"/>
      <c r="AN627" s="701"/>
      <c r="AO627" s="701"/>
      <c r="AP627" s="701"/>
      <c r="AQ627" s="701"/>
      <c r="AR627" s="701"/>
      <c r="AS627" s="702"/>
      <c r="AT627" s="559"/>
      <c r="AU627" s="572"/>
      <c r="AV627" s="573"/>
      <c r="AW627" s="573"/>
      <c r="AX627" s="574"/>
      <c r="AY627" s="572"/>
      <c r="AZ627" s="573"/>
      <c r="BA627" s="573"/>
      <c r="BB627" s="574"/>
      <c r="BC627" s="585"/>
      <c r="BD627" s="588"/>
      <c r="BE627" s="48"/>
      <c r="BF627" s="49"/>
    </row>
    <row r="628" spans="1:58" s="95" customFormat="1" ht="24" customHeight="1" thickBot="1" x14ac:dyDescent="0.3">
      <c r="A628" s="86"/>
      <c r="B628" s="87"/>
      <c r="C628" s="88"/>
      <c r="D628" s="691"/>
      <c r="E628" s="691"/>
      <c r="F628" s="711"/>
      <c r="G628" s="691"/>
      <c r="H628" s="711"/>
      <c r="I628" s="691"/>
      <c r="J628" s="712"/>
      <c r="K628" s="89" t="s">
        <v>71</v>
      </c>
      <c r="L628" s="89" t="s">
        <v>115</v>
      </c>
      <c r="M628" s="89" t="s">
        <v>72</v>
      </c>
      <c r="N628" s="691"/>
      <c r="O628" s="691"/>
      <c r="P628" s="703"/>
      <c r="Q628" s="703"/>
      <c r="R628" s="703"/>
      <c r="S628" s="703"/>
      <c r="T628" s="703"/>
      <c r="U628" s="90" t="s">
        <v>73</v>
      </c>
      <c r="V628" s="89">
        <v>1</v>
      </c>
      <c r="W628" s="91">
        <v>2</v>
      </c>
      <c r="X628" s="91">
        <v>3</v>
      </c>
      <c r="Y628" s="91">
        <v>4</v>
      </c>
      <c r="Z628" s="162">
        <v>1</v>
      </c>
      <c r="AA628" s="110">
        <v>2</v>
      </c>
      <c r="AB628" s="110">
        <v>3</v>
      </c>
      <c r="AC628" s="110">
        <v>4</v>
      </c>
      <c r="AD628" s="696"/>
      <c r="AE628" s="696"/>
      <c r="AF628" s="696"/>
      <c r="AG628" s="696"/>
      <c r="AH628" s="696"/>
      <c r="AI628" s="697"/>
      <c r="AJ628" s="342" t="s">
        <v>74</v>
      </c>
      <c r="AK628" s="343" t="s">
        <v>75</v>
      </c>
      <c r="AL628" s="343" t="s">
        <v>76</v>
      </c>
      <c r="AM628" s="343" t="s">
        <v>77</v>
      </c>
      <c r="AN628" s="92" t="s">
        <v>78</v>
      </c>
      <c r="AO628" s="92" t="s">
        <v>79</v>
      </c>
      <c r="AP628" s="92" t="s">
        <v>80</v>
      </c>
      <c r="AQ628" s="92" t="s">
        <v>81</v>
      </c>
      <c r="AR628" s="93" t="s">
        <v>82</v>
      </c>
      <c r="AS628" s="93" t="s">
        <v>83</v>
      </c>
      <c r="AT628" s="560"/>
      <c r="AU628" s="111" t="s">
        <v>116</v>
      </c>
      <c r="AV628" s="111" t="s">
        <v>117</v>
      </c>
      <c r="AW628" s="111" t="s">
        <v>118</v>
      </c>
      <c r="AX628" s="111" t="s">
        <v>119</v>
      </c>
      <c r="AY628" s="111" t="s">
        <v>116</v>
      </c>
      <c r="AZ628" s="111" t="s">
        <v>117</v>
      </c>
      <c r="BA628" s="111" t="s">
        <v>118</v>
      </c>
      <c r="BB628" s="111" t="s">
        <v>119</v>
      </c>
      <c r="BC628" s="586"/>
      <c r="BD628" s="589"/>
      <c r="BE628" s="48"/>
      <c r="BF628" s="49"/>
    </row>
    <row r="629" spans="1:58" s="120" customFormat="1" ht="35.1" customHeight="1" x14ac:dyDescent="0.25">
      <c r="A629" s="675"/>
      <c r="B629" s="664"/>
      <c r="C629" s="673">
        <v>1</v>
      </c>
      <c r="D629" s="753" t="s">
        <v>42</v>
      </c>
      <c r="E629" s="754" t="s">
        <v>327</v>
      </c>
      <c r="F629" s="749">
        <v>0.95</v>
      </c>
      <c r="G629" s="654" t="s">
        <v>1008</v>
      </c>
      <c r="H629" s="546">
        <v>0.2</v>
      </c>
      <c r="I629" s="661" t="s">
        <v>1009</v>
      </c>
      <c r="J629" s="654">
        <v>1</v>
      </c>
      <c r="K629" s="552" t="s">
        <v>1010</v>
      </c>
      <c r="L629" s="667" t="s">
        <v>1011</v>
      </c>
      <c r="M629" s="661" t="str">
        <f>CONCATENATE(U629,$U$14,U630)</f>
        <v>No. de demandas y acciones constitucionales contestadas dentro del término de Ley Total de demandas y acciones constitucionales notificadas</v>
      </c>
      <c r="N629" s="661" t="s">
        <v>1012</v>
      </c>
      <c r="O629" s="746" t="s">
        <v>765</v>
      </c>
      <c r="P629" s="657">
        <v>0.12</v>
      </c>
      <c r="Q629" s="657">
        <v>1</v>
      </c>
      <c r="R629" s="657">
        <v>1</v>
      </c>
      <c r="S629" s="657">
        <v>1</v>
      </c>
      <c r="T629" s="658" t="s">
        <v>151</v>
      </c>
      <c r="U629" s="112" t="s">
        <v>1013</v>
      </c>
      <c r="V629" s="434"/>
      <c r="W629" s="434"/>
      <c r="X629" s="434"/>
      <c r="Y629" s="434"/>
      <c r="Z629" s="114"/>
      <c r="AA629" s="114"/>
      <c r="AB629" s="114"/>
      <c r="AC629" s="114"/>
      <c r="AD629" s="648">
        <f>+AE629+AF629+AG629</f>
        <v>436313577</v>
      </c>
      <c r="AE629" s="651">
        <v>219080244</v>
      </c>
      <c r="AF629" s="651">
        <v>0</v>
      </c>
      <c r="AG629" s="651">
        <v>217233333</v>
      </c>
      <c r="AH629" s="672" t="s">
        <v>1014</v>
      </c>
      <c r="AI629" s="672" t="s">
        <v>1015</v>
      </c>
      <c r="AJ629" s="672" t="s">
        <v>94</v>
      </c>
      <c r="AK629" s="672"/>
      <c r="AL629" s="672"/>
      <c r="AM629" s="672"/>
      <c r="AN629" s="672"/>
      <c r="AO629" s="672" t="s">
        <v>94</v>
      </c>
      <c r="AP629" s="672"/>
      <c r="AQ629" s="672" t="s">
        <v>94</v>
      </c>
      <c r="AR629" s="672"/>
      <c r="AS629" s="672"/>
      <c r="AT629" s="190" t="s">
        <v>129</v>
      </c>
      <c r="AU629" s="203">
        <f t="shared" ref="AU629:BB629" si="486">+V631*$J$629</f>
        <v>0</v>
      </c>
      <c r="AV629" s="203">
        <f t="shared" si="486"/>
        <v>0</v>
      </c>
      <c r="AW629" s="203">
        <f t="shared" si="486"/>
        <v>0</v>
      </c>
      <c r="AX629" s="203">
        <f t="shared" si="486"/>
        <v>0</v>
      </c>
      <c r="AY629" s="203">
        <f t="shared" si="486"/>
        <v>0</v>
      </c>
      <c r="AZ629" s="203">
        <f t="shared" si="486"/>
        <v>0</v>
      </c>
      <c r="BA629" s="203">
        <f t="shared" si="486"/>
        <v>0</v>
      </c>
      <c r="BB629" s="204">
        <f t="shared" si="486"/>
        <v>0</v>
      </c>
      <c r="BC629" s="611" t="e">
        <f>+BB631</f>
        <v>#REF!</v>
      </c>
      <c r="BD629" s="608" t="e">
        <f>+BC629</f>
        <v>#REF!</v>
      </c>
      <c r="BE629" s="117"/>
      <c r="BF629" s="118"/>
    </row>
    <row r="630" spans="1:58" s="120" customFormat="1" ht="35.1" customHeight="1" thickBot="1" x14ac:dyDescent="0.3">
      <c r="A630" s="675"/>
      <c r="B630" s="664"/>
      <c r="C630" s="673"/>
      <c r="D630" s="753"/>
      <c r="E630" s="754"/>
      <c r="F630" s="750"/>
      <c r="G630" s="655"/>
      <c r="H630" s="547"/>
      <c r="I630" s="662"/>
      <c r="J630" s="655"/>
      <c r="K630" s="553"/>
      <c r="L630" s="667"/>
      <c r="M630" s="662"/>
      <c r="N630" s="662"/>
      <c r="O630" s="747"/>
      <c r="P630" s="657"/>
      <c r="Q630" s="657"/>
      <c r="R630" s="657"/>
      <c r="S630" s="657"/>
      <c r="T630" s="659"/>
      <c r="U630" s="121" t="s">
        <v>1016</v>
      </c>
      <c r="V630" s="435">
        <v>0.01</v>
      </c>
      <c r="W630" s="435">
        <v>145</v>
      </c>
      <c r="X630" s="435">
        <v>0.01</v>
      </c>
      <c r="Y630" s="435">
        <v>0.01</v>
      </c>
      <c r="Z630" s="435">
        <v>0.01</v>
      </c>
      <c r="AA630" s="435">
        <f>+W630</f>
        <v>145</v>
      </c>
      <c r="AB630" s="435">
        <v>0.01</v>
      </c>
      <c r="AC630" s="435">
        <f>+W630+Y630</f>
        <v>145.01</v>
      </c>
      <c r="AD630" s="649"/>
      <c r="AE630" s="652"/>
      <c r="AF630" s="652"/>
      <c r="AG630" s="652"/>
      <c r="AH630" s="672"/>
      <c r="AI630" s="672"/>
      <c r="AJ630" s="672"/>
      <c r="AK630" s="672"/>
      <c r="AL630" s="672"/>
      <c r="AM630" s="672"/>
      <c r="AN630" s="672"/>
      <c r="AO630" s="672"/>
      <c r="AP630" s="672"/>
      <c r="AQ630" s="672"/>
      <c r="AR630" s="672"/>
      <c r="AS630" s="672"/>
      <c r="AT630" s="190" t="s">
        <v>131</v>
      </c>
      <c r="AU630" s="203">
        <f>+AU629*$H$629</f>
        <v>0</v>
      </c>
      <c r="AV630" s="203">
        <f t="shared" ref="AV630:BB630" si="487">+AV629*$H$629</f>
        <v>0</v>
      </c>
      <c r="AW630" s="203">
        <f t="shared" si="487"/>
        <v>0</v>
      </c>
      <c r="AX630" s="203">
        <f t="shared" si="487"/>
        <v>0</v>
      </c>
      <c r="AY630" s="203">
        <f t="shared" si="487"/>
        <v>0</v>
      </c>
      <c r="AZ630" s="203">
        <f t="shared" si="487"/>
        <v>0</v>
      </c>
      <c r="BA630" s="203">
        <f t="shared" si="487"/>
        <v>0</v>
      </c>
      <c r="BB630" s="204">
        <f t="shared" si="487"/>
        <v>0</v>
      </c>
      <c r="BC630" s="612"/>
      <c r="BD630" s="609"/>
      <c r="BE630" s="117"/>
      <c r="BF630" s="118"/>
    </row>
    <row r="631" spans="1:58" s="120" customFormat="1" ht="24.95" customHeight="1" thickBot="1" x14ac:dyDescent="0.3">
      <c r="A631" s="675"/>
      <c r="B631" s="664"/>
      <c r="C631" s="673"/>
      <c r="D631" s="753"/>
      <c r="E631" s="754"/>
      <c r="F631" s="750"/>
      <c r="G631" s="655"/>
      <c r="H631" s="548"/>
      <c r="I631" s="663"/>
      <c r="J631" s="656"/>
      <c r="K631" s="554"/>
      <c r="L631" s="667"/>
      <c r="M631" s="663"/>
      <c r="N631" s="663"/>
      <c r="O631" s="752"/>
      <c r="P631" s="657"/>
      <c r="Q631" s="657"/>
      <c r="R631" s="657"/>
      <c r="S631" s="657"/>
      <c r="T631" s="660"/>
      <c r="U631" s="125" t="s">
        <v>96</v>
      </c>
      <c r="V631" s="197">
        <f>IF((V629/V630)&lt;$I$8,(V629/V630),IF((V629/V630)&lt;$J$8,(V629/V630),IF((V629/V630)&lt;$J$8,(V629/V630),IF((V629/V630)&gt;=$J$9,$J$9))))</f>
        <v>0</v>
      </c>
      <c r="W631" s="196">
        <f t="shared" ref="W631:AC631" si="488">IF((W629/W630)&lt;$I$8,(W629/W630),IF((W629/W630)&lt;$J$8,(W629/W630),IF((W629/W630)&lt;$J$9,(W629/W630),IF((W629/W630)&gt;=$J$9,$J$9))))</f>
        <v>0</v>
      </c>
      <c r="X631" s="197">
        <f>IF((X629/X630)&lt;$I$8,(X629/X630),IF((X629/X630)&lt;$J$8,(X629/X630),IF((X629/X630)&lt;$J$8,(X629/X630),IF((X629/X630)&gt;=$J$9,$J$9))))</f>
        <v>0</v>
      </c>
      <c r="Y631" s="196">
        <f t="shared" si="488"/>
        <v>0</v>
      </c>
      <c r="Z631" s="197">
        <f>IF((Z629/Z630)&lt;$I$8,(Z629/Z630),IF((Z629/Z630)&lt;$J$8,(Z629/Z630),IF((Z629/Z630)&lt;$J$8,(Z629/Z630),IF((Z629/Z630)&gt;=$J$9,$J$9))))</f>
        <v>0</v>
      </c>
      <c r="AA631" s="196">
        <f t="shared" si="488"/>
        <v>0</v>
      </c>
      <c r="AB631" s="197">
        <f>IF((AB629/AB630)&lt;$I$8,(AB629/AB630),IF((AB629/AB630)&lt;$J$8,(AB629/AB630),IF((AB629/AB630)&lt;$J$8,(AB629/AB630),IF((AB629/AB630)&gt;=$J$9,$J$9))))</f>
        <v>0</v>
      </c>
      <c r="AC631" s="196">
        <f t="shared" si="488"/>
        <v>0</v>
      </c>
      <c r="AD631" s="649"/>
      <c r="AE631" s="652"/>
      <c r="AF631" s="652"/>
      <c r="AG631" s="652"/>
      <c r="AH631" s="672"/>
      <c r="AI631" s="672"/>
      <c r="AJ631" s="672"/>
      <c r="AK631" s="672"/>
      <c r="AL631" s="672"/>
      <c r="AM631" s="672"/>
      <c r="AN631" s="672"/>
      <c r="AO631" s="672"/>
      <c r="AP631" s="672"/>
      <c r="AQ631" s="672"/>
      <c r="AR631" s="672"/>
      <c r="AS631" s="672"/>
      <c r="AT631" s="190" t="s">
        <v>132</v>
      </c>
      <c r="AU631" s="265" t="e">
        <f>+(((AU630+AU633+AU636+#REF!+AU639+AU642+AU645)*$F$629)+(AU648*$F$647))</f>
        <v>#REF!</v>
      </c>
      <c r="AV631" s="265" t="e">
        <f>+(((AV630+AV633+AV636+#REF!+AV639+AV642+AV645)*$F$629)+(AV648*$F$647))</f>
        <v>#REF!</v>
      </c>
      <c r="AW631" s="265" t="e">
        <f>+(((AW630+AW633+AW636+#REF!+AW639+AW642+AW645)*$F$629)+(AW648*$F$647))</f>
        <v>#REF!</v>
      </c>
      <c r="AX631" s="265" t="e">
        <f>+(((AX630+AX633+AX636+#REF!+AX639+AX642+AX645)*$F$629)+(AX648*$F$647))</f>
        <v>#REF!</v>
      </c>
      <c r="AY631" s="265" t="e">
        <f>+(((AY630+AY633+AY636+#REF!+AY639+AY642+AY645)*$F$629)+(AY648*$F$647))</f>
        <v>#REF!</v>
      </c>
      <c r="AZ631" s="265" t="e">
        <f>+(((AZ630+AZ633+AZ636+#REF!+AZ639+AZ642+AZ645)*$F$629)+(AZ648*$F$647))</f>
        <v>#REF!</v>
      </c>
      <c r="BA631" s="265" t="e">
        <f>+(((BA630+BA633+BA636+#REF!+BA639+BA642+BA645)*$F$629)+(BA648*$F$647))</f>
        <v>#REF!</v>
      </c>
      <c r="BB631" s="308" t="e">
        <f>+(((BB630+BB633+BB636+#REF!+BB639+BB642+BB645)*$F$629)+(BB648*$F$647))</f>
        <v>#REF!</v>
      </c>
      <c r="BC631" s="612"/>
      <c r="BD631" s="609"/>
      <c r="BE631" s="117"/>
      <c r="BF631" s="118"/>
    </row>
    <row r="632" spans="1:58" s="120" customFormat="1" ht="35.1" customHeight="1" x14ac:dyDescent="0.25">
      <c r="A632" s="675"/>
      <c r="B632" s="664"/>
      <c r="C632" s="673">
        <v>2</v>
      </c>
      <c r="D632" s="753"/>
      <c r="E632" s="754"/>
      <c r="F632" s="750"/>
      <c r="G632" s="655"/>
      <c r="H632" s="546">
        <v>0.1</v>
      </c>
      <c r="I632" s="661" t="s">
        <v>1017</v>
      </c>
      <c r="J632" s="654">
        <v>1</v>
      </c>
      <c r="K632" s="552" t="s">
        <v>1018</v>
      </c>
      <c r="L632" s="678" t="s">
        <v>1019</v>
      </c>
      <c r="M632" s="661" t="str">
        <f>CONCATENATE(U632,$U$14,U633)</f>
        <v>Total de Fallos ejecutoriados a favor de la EntidadTotal de fallos ejecutoriados</v>
      </c>
      <c r="N632" s="661" t="s">
        <v>1012</v>
      </c>
      <c r="O632" s="746" t="s">
        <v>765</v>
      </c>
      <c r="P632" s="657">
        <v>0.09</v>
      </c>
      <c r="Q632" s="657" t="s">
        <v>758</v>
      </c>
      <c r="R632" s="657">
        <v>1</v>
      </c>
      <c r="S632" s="657">
        <v>1</v>
      </c>
      <c r="T632" s="658" t="s">
        <v>151</v>
      </c>
      <c r="U632" s="112" t="s">
        <v>1020</v>
      </c>
      <c r="V632" s="434"/>
      <c r="W632" s="434"/>
      <c r="X632" s="434"/>
      <c r="Y632" s="434"/>
      <c r="Z632" s="114"/>
      <c r="AA632" s="114"/>
      <c r="AB632" s="114"/>
      <c r="AC632" s="114"/>
      <c r="AD632" s="649"/>
      <c r="AE632" s="652"/>
      <c r="AF632" s="652"/>
      <c r="AG632" s="652"/>
      <c r="AH632" s="672" t="s">
        <v>1014</v>
      </c>
      <c r="AI632" s="672" t="s">
        <v>1015</v>
      </c>
      <c r="AJ632" s="672" t="s">
        <v>94</v>
      </c>
      <c r="AK632" s="672"/>
      <c r="AL632" s="672"/>
      <c r="AM632" s="672"/>
      <c r="AN632" s="672"/>
      <c r="AO632" s="672"/>
      <c r="AP632" s="672" t="s">
        <v>94</v>
      </c>
      <c r="AQ632" s="672" t="s">
        <v>94</v>
      </c>
      <c r="AR632" s="672"/>
      <c r="AS632" s="672"/>
      <c r="AT632" s="190" t="s">
        <v>129</v>
      </c>
      <c r="AU632" s="203">
        <f t="shared" ref="AU632:BB632" si="489">+V634*$J$632</f>
        <v>0</v>
      </c>
      <c r="AV632" s="203">
        <f t="shared" si="489"/>
        <v>0</v>
      </c>
      <c r="AW632" s="203">
        <f t="shared" si="489"/>
        <v>0</v>
      </c>
      <c r="AX632" s="203">
        <f t="shared" si="489"/>
        <v>0</v>
      </c>
      <c r="AY632" s="203">
        <f t="shared" si="489"/>
        <v>0</v>
      </c>
      <c r="AZ632" s="203">
        <f t="shared" si="489"/>
        <v>0</v>
      </c>
      <c r="BA632" s="203">
        <f t="shared" si="489"/>
        <v>0</v>
      </c>
      <c r="BB632" s="204">
        <f t="shared" si="489"/>
        <v>0</v>
      </c>
      <c r="BC632" s="612"/>
      <c r="BD632" s="609"/>
      <c r="BE632" s="117"/>
      <c r="BF632" s="118"/>
    </row>
    <row r="633" spans="1:58" s="120" customFormat="1" ht="35.1" customHeight="1" x14ac:dyDescent="0.25">
      <c r="A633" s="675"/>
      <c r="B633" s="664"/>
      <c r="C633" s="673"/>
      <c r="D633" s="753"/>
      <c r="E633" s="754"/>
      <c r="F633" s="750"/>
      <c r="G633" s="655"/>
      <c r="H633" s="547"/>
      <c r="I633" s="662"/>
      <c r="J633" s="655"/>
      <c r="K633" s="553"/>
      <c r="L633" s="678"/>
      <c r="M633" s="662"/>
      <c r="N633" s="662"/>
      <c r="O633" s="747"/>
      <c r="P633" s="657"/>
      <c r="Q633" s="657"/>
      <c r="R633" s="657"/>
      <c r="S633" s="657"/>
      <c r="T633" s="659"/>
      <c r="U633" s="121" t="s">
        <v>1021</v>
      </c>
      <c r="V633" s="435">
        <v>0.01</v>
      </c>
      <c r="W633" s="435">
        <v>4</v>
      </c>
      <c r="X633" s="435">
        <v>0.01</v>
      </c>
      <c r="Y633" s="435">
        <v>0.01</v>
      </c>
      <c r="Z633" s="435">
        <v>0.01</v>
      </c>
      <c r="AA633" s="435">
        <f>+W633</f>
        <v>4</v>
      </c>
      <c r="AB633" s="435">
        <v>0.01</v>
      </c>
      <c r="AC633" s="435">
        <f>+W633+Y633</f>
        <v>4.01</v>
      </c>
      <c r="AD633" s="649"/>
      <c r="AE633" s="652"/>
      <c r="AF633" s="652"/>
      <c r="AG633" s="652"/>
      <c r="AH633" s="672"/>
      <c r="AI633" s="672"/>
      <c r="AJ633" s="672"/>
      <c r="AK633" s="672"/>
      <c r="AL633" s="672"/>
      <c r="AM633" s="672"/>
      <c r="AN633" s="672"/>
      <c r="AO633" s="672"/>
      <c r="AP633" s="672"/>
      <c r="AQ633" s="672"/>
      <c r="AR633" s="672"/>
      <c r="AS633" s="672"/>
      <c r="AT633" s="190" t="s">
        <v>131</v>
      </c>
      <c r="AU633" s="203">
        <f>+AU632*$H$632</f>
        <v>0</v>
      </c>
      <c r="AV633" s="203">
        <f t="shared" ref="AV633:BB633" si="490">+AV632*$H$632</f>
        <v>0</v>
      </c>
      <c r="AW633" s="203">
        <f t="shared" si="490"/>
        <v>0</v>
      </c>
      <c r="AX633" s="203">
        <f t="shared" si="490"/>
        <v>0</v>
      </c>
      <c r="AY633" s="203">
        <f t="shared" si="490"/>
        <v>0</v>
      </c>
      <c r="AZ633" s="203">
        <f t="shared" si="490"/>
        <v>0</v>
      </c>
      <c r="BA633" s="203">
        <f t="shared" si="490"/>
        <v>0</v>
      </c>
      <c r="BB633" s="204">
        <f t="shared" si="490"/>
        <v>0</v>
      </c>
      <c r="BC633" s="612"/>
      <c r="BD633" s="609"/>
      <c r="BE633" s="117"/>
      <c r="BF633" s="118"/>
    </row>
    <row r="634" spans="1:58" s="120" customFormat="1" ht="24.95" customHeight="1" x14ac:dyDescent="0.25">
      <c r="A634" s="675"/>
      <c r="B634" s="664"/>
      <c r="C634" s="673"/>
      <c r="D634" s="753"/>
      <c r="E634" s="754"/>
      <c r="F634" s="750"/>
      <c r="G634" s="655"/>
      <c r="H634" s="548"/>
      <c r="I634" s="663"/>
      <c r="J634" s="656"/>
      <c r="K634" s="554"/>
      <c r="L634" s="678"/>
      <c r="M634" s="663"/>
      <c r="N634" s="663"/>
      <c r="O634" s="752"/>
      <c r="P634" s="657"/>
      <c r="Q634" s="657"/>
      <c r="R634" s="657"/>
      <c r="S634" s="657"/>
      <c r="T634" s="660"/>
      <c r="U634" s="125" t="s">
        <v>96</v>
      </c>
      <c r="V634" s="197">
        <f>IF((V632/V633)&lt;$I$8,(V632/V633),IF((V632/V633)&lt;$J$8,(V632/V633),IF((V632/V633)&lt;$J$8,(V632/V633),IF((V632/V633)&gt;=$J$9,$J$9))))</f>
        <v>0</v>
      </c>
      <c r="W634" s="196">
        <f t="shared" ref="W634:AC634" si="491">IF((W632/W633)&lt;$I$8,(W632/W633),IF((W632/W633)&lt;$J$8,(W632/W633),IF((W632/W633)&lt;$J$9,(W632/W633),IF((W632/W633)&gt;=$J$9,$J$9))))</f>
        <v>0</v>
      </c>
      <c r="X634" s="197">
        <f>IF((X632/X633)&lt;$I$8,(X632/X633),IF((X632/X633)&lt;$J$8,(X632/X633),IF((X632/X633)&lt;$J$8,(X632/X633),IF((X632/X633)&gt;=$J$9,$J$9))))</f>
        <v>0</v>
      </c>
      <c r="Y634" s="196">
        <f t="shared" si="491"/>
        <v>0</v>
      </c>
      <c r="Z634" s="197">
        <f>IF((Z632/Z633)&lt;$I$8,(Z632/Z633),IF((Z632/Z633)&lt;$J$8,(Z632/Z633),IF((Z632/Z633)&lt;$J$8,(Z632/Z633),IF((Z632/Z633)&gt;=$J$9,$J$9))))</f>
        <v>0</v>
      </c>
      <c r="AA634" s="196">
        <f t="shared" si="491"/>
        <v>0</v>
      </c>
      <c r="AB634" s="197">
        <f>IF((AB632/AB633)&lt;$I$8,(AB632/AB633),IF((AB632/AB633)&lt;$J$8,(AB632/AB633),IF((AB632/AB633)&lt;$J$8,(AB632/AB633),IF((AB632/AB633)&gt;=$J$9,$J$9))))</f>
        <v>0</v>
      </c>
      <c r="AC634" s="196">
        <f t="shared" si="491"/>
        <v>0</v>
      </c>
      <c r="AD634" s="649"/>
      <c r="AE634" s="652"/>
      <c r="AF634" s="652"/>
      <c r="AG634" s="652"/>
      <c r="AH634" s="672"/>
      <c r="AI634" s="672"/>
      <c r="AJ634" s="672"/>
      <c r="AK634" s="672"/>
      <c r="AL634" s="672"/>
      <c r="AM634" s="672"/>
      <c r="AN634" s="672"/>
      <c r="AO634" s="672"/>
      <c r="AP634" s="672"/>
      <c r="AQ634" s="672"/>
      <c r="AR634" s="672"/>
      <c r="AS634" s="672"/>
      <c r="AT634" s="190" t="s">
        <v>132</v>
      </c>
      <c r="AU634" s="575"/>
      <c r="AV634" s="576"/>
      <c r="AW634" s="576"/>
      <c r="AX634" s="576"/>
      <c r="AY634" s="576"/>
      <c r="AZ634" s="576"/>
      <c r="BA634" s="576"/>
      <c r="BB634" s="577"/>
      <c r="BC634" s="612"/>
      <c r="BD634" s="609"/>
      <c r="BE634" s="117"/>
      <c r="BF634" s="118"/>
    </row>
    <row r="635" spans="1:58" s="120" customFormat="1" ht="35.1" customHeight="1" x14ac:dyDescent="0.25">
      <c r="A635" s="675"/>
      <c r="B635" s="664"/>
      <c r="C635" s="673">
        <v>3</v>
      </c>
      <c r="D635" s="753"/>
      <c r="E635" s="754"/>
      <c r="F635" s="750"/>
      <c r="G635" s="655"/>
      <c r="H635" s="546">
        <v>0.2</v>
      </c>
      <c r="I635" s="661" t="s">
        <v>1022</v>
      </c>
      <c r="J635" s="654">
        <v>1</v>
      </c>
      <c r="K635" s="552" t="s">
        <v>1023</v>
      </c>
      <c r="L635" s="667" t="s">
        <v>1024</v>
      </c>
      <c r="M635" s="661" t="str">
        <f>CONCATENATE(U635,$U$14,U636)</f>
        <v xml:space="preserve"> Total de recursos presentados en términosTotal de fallos de primera instancia notificados en contra de la ANM</v>
      </c>
      <c r="N635" s="661" t="s">
        <v>1025</v>
      </c>
      <c r="O635" s="746" t="s">
        <v>765</v>
      </c>
      <c r="P635" s="657">
        <v>0.1</v>
      </c>
      <c r="Q635" s="657" t="s">
        <v>758</v>
      </c>
      <c r="R635" s="657">
        <v>1</v>
      </c>
      <c r="S635" s="657">
        <v>1</v>
      </c>
      <c r="T635" s="658" t="s">
        <v>151</v>
      </c>
      <c r="U635" s="112" t="s">
        <v>1026</v>
      </c>
      <c r="V635" s="434"/>
      <c r="W635" s="434"/>
      <c r="X635" s="434"/>
      <c r="Y635" s="434"/>
      <c r="Z635" s="114"/>
      <c r="AA635" s="114"/>
      <c r="AB635" s="114"/>
      <c r="AC635" s="114"/>
      <c r="AD635" s="649"/>
      <c r="AE635" s="652"/>
      <c r="AF635" s="652"/>
      <c r="AG635" s="652"/>
      <c r="AH635" s="672" t="s">
        <v>1014</v>
      </c>
      <c r="AI635" s="672" t="s">
        <v>1015</v>
      </c>
      <c r="AJ635" s="672" t="s">
        <v>94</v>
      </c>
      <c r="AK635" s="672"/>
      <c r="AL635" s="672"/>
      <c r="AM635" s="672"/>
      <c r="AN635" s="672" t="s">
        <v>94</v>
      </c>
      <c r="AO635" s="672"/>
      <c r="AP635" s="672"/>
      <c r="AQ635" s="672" t="s">
        <v>94</v>
      </c>
      <c r="AR635" s="672"/>
      <c r="AS635" s="672"/>
      <c r="AT635" s="190" t="s">
        <v>129</v>
      </c>
      <c r="AU635" s="203">
        <f t="shared" ref="AU635:BB635" si="492">+V637*$J$635</f>
        <v>0</v>
      </c>
      <c r="AV635" s="203">
        <f t="shared" si="492"/>
        <v>0</v>
      </c>
      <c r="AW635" s="203">
        <f t="shared" si="492"/>
        <v>0</v>
      </c>
      <c r="AX635" s="203">
        <f t="shared" si="492"/>
        <v>0</v>
      </c>
      <c r="AY635" s="203">
        <f t="shared" si="492"/>
        <v>0</v>
      </c>
      <c r="AZ635" s="203">
        <f t="shared" si="492"/>
        <v>0</v>
      </c>
      <c r="BA635" s="203">
        <f t="shared" si="492"/>
        <v>0</v>
      </c>
      <c r="BB635" s="204">
        <f t="shared" si="492"/>
        <v>0</v>
      </c>
      <c r="BC635" s="612"/>
      <c r="BD635" s="609"/>
      <c r="BE635" s="117"/>
      <c r="BF635" s="118"/>
    </row>
    <row r="636" spans="1:58" s="120" customFormat="1" ht="35.1" customHeight="1" x14ac:dyDescent="0.25">
      <c r="A636" s="675"/>
      <c r="B636" s="664"/>
      <c r="C636" s="673"/>
      <c r="D636" s="753"/>
      <c r="E636" s="754"/>
      <c r="F636" s="750"/>
      <c r="G636" s="655"/>
      <c r="H636" s="547"/>
      <c r="I636" s="662"/>
      <c r="J636" s="655"/>
      <c r="K636" s="553"/>
      <c r="L636" s="667"/>
      <c r="M636" s="662"/>
      <c r="N636" s="662"/>
      <c r="O636" s="747"/>
      <c r="P636" s="657"/>
      <c r="Q636" s="657"/>
      <c r="R636" s="657"/>
      <c r="S636" s="657"/>
      <c r="T636" s="659"/>
      <c r="U636" s="121" t="s">
        <v>1027</v>
      </c>
      <c r="V636" s="435">
        <v>0.01</v>
      </c>
      <c r="W636" s="435">
        <v>2</v>
      </c>
      <c r="X636" s="435">
        <v>0.01</v>
      </c>
      <c r="Y636" s="435">
        <v>0.01</v>
      </c>
      <c r="Z636" s="435">
        <v>0.01</v>
      </c>
      <c r="AA636" s="435">
        <f>+W636</f>
        <v>2</v>
      </c>
      <c r="AB636" s="435">
        <v>0.01</v>
      </c>
      <c r="AC636" s="435">
        <f>+W636+Y636</f>
        <v>2.0099999999999998</v>
      </c>
      <c r="AD636" s="649"/>
      <c r="AE636" s="652"/>
      <c r="AF636" s="652"/>
      <c r="AG636" s="652"/>
      <c r="AH636" s="672"/>
      <c r="AI636" s="672"/>
      <c r="AJ636" s="672"/>
      <c r="AK636" s="672"/>
      <c r="AL636" s="672"/>
      <c r="AM636" s="672"/>
      <c r="AN636" s="672"/>
      <c r="AO636" s="672"/>
      <c r="AP636" s="672"/>
      <c r="AQ636" s="672"/>
      <c r="AR636" s="672"/>
      <c r="AS636" s="672"/>
      <c r="AT636" s="190" t="s">
        <v>131</v>
      </c>
      <c r="AU636" s="203">
        <f>+AU635*$H$635</f>
        <v>0</v>
      </c>
      <c r="AV636" s="203">
        <f t="shared" ref="AV636:BB636" si="493">+AV635*$H$635</f>
        <v>0</v>
      </c>
      <c r="AW636" s="203">
        <f t="shared" si="493"/>
        <v>0</v>
      </c>
      <c r="AX636" s="203">
        <f t="shared" si="493"/>
        <v>0</v>
      </c>
      <c r="AY636" s="203">
        <f t="shared" si="493"/>
        <v>0</v>
      </c>
      <c r="AZ636" s="203">
        <f t="shared" si="493"/>
        <v>0</v>
      </c>
      <c r="BA636" s="203">
        <f t="shared" si="493"/>
        <v>0</v>
      </c>
      <c r="BB636" s="204">
        <f t="shared" si="493"/>
        <v>0</v>
      </c>
      <c r="BC636" s="612"/>
      <c r="BD636" s="609"/>
      <c r="BE636" s="117"/>
      <c r="BF636" s="118"/>
    </row>
    <row r="637" spans="1:58" s="120" customFormat="1" ht="24.95" customHeight="1" x14ac:dyDescent="0.25">
      <c r="A637" s="675"/>
      <c r="B637" s="664"/>
      <c r="C637" s="673"/>
      <c r="D637" s="753"/>
      <c r="E637" s="754"/>
      <c r="F637" s="750"/>
      <c r="G637" s="655"/>
      <c r="H637" s="548"/>
      <c r="I637" s="663"/>
      <c r="J637" s="656"/>
      <c r="K637" s="554"/>
      <c r="L637" s="667"/>
      <c r="M637" s="663"/>
      <c r="N637" s="663"/>
      <c r="O637" s="752"/>
      <c r="P637" s="657"/>
      <c r="Q637" s="657"/>
      <c r="R637" s="657"/>
      <c r="S637" s="657"/>
      <c r="T637" s="660"/>
      <c r="U637" s="125" t="s">
        <v>96</v>
      </c>
      <c r="V637" s="197">
        <f>IF((V635/V636)&lt;$I$8,(V635/V636),IF((V635/V636)&lt;$J$8,(V635/V636),IF((V635/V636)&lt;$J$8,(V635/V636),IF((V635/V636)&gt;=$J$9,$J$9))))</f>
        <v>0</v>
      </c>
      <c r="W637" s="196">
        <f>IF((W635/W636)&lt;$I$8,(W635/W636),IF((W635/W636)&lt;$J$8,(W635/W636),IF((W635/W636)&lt;$J$8,(W635/W636),IF((W635/W636)&gt;=$J$9,$J$9))))</f>
        <v>0</v>
      </c>
      <c r="X637" s="197">
        <f>IF((X635/X636)&lt;$I$8,(X635/X636),IF((X635/X636)&lt;$J$8,(X635/X636),IF((X635/X636)&lt;$J$8,(X635/X636),IF((X635/X636)&gt;=$J$9,$J$9))))</f>
        <v>0</v>
      </c>
      <c r="Y637" s="196">
        <f t="shared" ref="Y637:AC637" si="494">IF((Y635/Y636)&lt;$I$8,(Y635/Y636),IF((Y635/Y636)&lt;$J$8,(Y635/Y636),IF((Y635/Y636)&lt;$J$9,(Y635/Y636),IF((Y635/Y636)&gt;=$J$9,$J$9))))</f>
        <v>0</v>
      </c>
      <c r="Z637" s="197">
        <f>IF((Z635/Z636)&lt;$I$8,(Z635/Z636),IF((Z635/Z636)&lt;$J$8,(Z635/Z636),IF((Z635/Z636)&lt;$J$8,(Z635/Z636),IF((Z635/Z636)&gt;=$J$9,$J$9))))</f>
        <v>0</v>
      </c>
      <c r="AA637" s="196">
        <f t="shared" si="494"/>
        <v>0</v>
      </c>
      <c r="AB637" s="197">
        <f>IF((AB635/AB636)&lt;$I$8,(AB635/AB636),IF((AB635/AB636)&lt;$J$8,(AB635/AB636),IF((AB635/AB636)&lt;$J$8,(AB635/AB636),IF((AB635/AB636)&gt;=$J$9,$J$9))))</f>
        <v>0</v>
      </c>
      <c r="AC637" s="196">
        <f t="shared" si="494"/>
        <v>0</v>
      </c>
      <c r="AD637" s="649"/>
      <c r="AE637" s="652"/>
      <c r="AF637" s="652"/>
      <c r="AG637" s="652"/>
      <c r="AH637" s="672"/>
      <c r="AI637" s="672"/>
      <c r="AJ637" s="672"/>
      <c r="AK637" s="672"/>
      <c r="AL637" s="672"/>
      <c r="AM637" s="672"/>
      <c r="AN637" s="672"/>
      <c r="AO637" s="672"/>
      <c r="AP637" s="672"/>
      <c r="AQ637" s="672"/>
      <c r="AR637" s="672"/>
      <c r="AS637" s="672"/>
      <c r="AT637" s="190" t="s">
        <v>132</v>
      </c>
      <c r="AU637" s="575"/>
      <c r="AV637" s="576"/>
      <c r="AW637" s="576"/>
      <c r="AX637" s="576"/>
      <c r="AY637" s="576"/>
      <c r="AZ637" s="576"/>
      <c r="BA637" s="576"/>
      <c r="BB637" s="577"/>
      <c r="BC637" s="612"/>
      <c r="BD637" s="609"/>
      <c r="BE637" s="117"/>
      <c r="BF637" s="118"/>
    </row>
    <row r="638" spans="1:58" s="120" customFormat="1" ht="35.1" customHeight="1" x14ac:dyDescent="0.25">
      <c r="A638" s="128"/>
      <c r="B638" s="664"/>
      <c r="C638" s="673">
        <v>4</v>
      </c>
      <c r="D638" s="753"/>
      <c r="E638" s="754"/>
      <c r="F638" s="750"/>
      <c r="G638" s="655"/>
      <c r="H638" s="546">
        <v>0.15</v>
      </c>
      <c r="I638" s="661" t="s">
        <v>1028</v>
      </c>
      <c r="J638" s="654">
        <v>1</v>
      </c>
      <c r="K638" s="552" t="s">
        <v>1029</v>
      </c>
      <c r="L638" s="661" t="s">
        <v>1030</v>
      </c>
      <c r="M638" s="661" t="str">
        <f>CONCATENATE(U638,$U$14,U639)</f>
        <v xml:space="preserve">No. de diligencias asistidas en representación judical y extrajudical de la ANM No. de diligencias notificadas a la ANM </v>
      </c>
      <c r="N638" s="661" t="s">
        <v>1025</v>
      </c>
      <c r="O638" s="746" t="s">
        <v>765</v>
      </c>
      <c r="P638" s="546">
        <v>0.09</v>
      </c>
      <c r="Q638" s="657" t="s">
        <v>758</v>
      </c>
      <c r="R638" s="657">
        <v>1</v>
      </c>
      <c r="S638" s="657">
        <v>1</v>
      </c>
      <c r="T638" s="658" t="s">
        <v>151</v>
      </c>
      <c r="U638" s="112" t="s">
        <v>1031</v>
      </c>
      <c r="V638" s="434"/>
      <c r="W638" s="434"/>
      <c r="X638" s="434"/>
      <c r="Y638" s="434"/>
      <c r="Z638" s="114"/>
      <c r="AA638" s="114"/>
      <c r="AB638" s="114"/>
      <c r="AC638" s="114"/>
      <c r="AD638" s="649"/>
      <c r="AE638" s="652"/>
      <c r="AF638" s="652"/>
      <c r="AG638" s="652"/>
      <c r="AH638" s="672" t="s">
        <v>1014</v>
      </c>
      <c r="AI638" s="672" t="s">
        <v>1015</v>
      </c>
      <c r="AJ638" s="672" t="s">
        <v>94</v>
      </c>
      <c r="AK638" s="672"/>
      <c r="AL638" s="672"/>
      <c r="AM638" s="672"/>
      <c r="AN638" s="672" t="s">
        <v>94</v>
      </c>
      <c r="AO638" s="672"/>
      <c r="AP638" s="672"/>
      <c r="AQ638" s="672" t="s">
        <v>94</v>
      </c>
      <c r="AR638" s="672"/>
      <c r="AS638" s="672"/>
      <c r="AT638" s="190" t="s">
        <v>129</v>
      </c>
      <c r="AU638" s="203">
        <f t="shared" ref="AU638:BA638" si="495">+V640*$J$638</f>
        <v>0</v>
      </c>
      <c r="AV638" s="203">
        <f t="shared" si="495"/>
        <v>0</v>
      </c>
      <c r="AW638" s="203">
        <f t="shared" si="495"/>
        <v>0</v>
      </c>
      <c r="AX638" s="203">
        <f t="shared" si="495"/>
        <v>0</v>
      </c>
      <c r="AY638" s="203">
        <f t="shared" si="495"/>
        <v>0</v>
      </c>
      <c r="AZ638" s="203">
        <f t="shared" si="495"/>
        <v>0</v>
      </c>
      <c r="BA638" s="203">
        <f t="shared" si="495"/>
        <v>0</v>
      </c>
      <c r="BB638" s="204">
        <f>+AC640*$J$486</f>
        <v>0</v>
      </c>
      <c r="BC638" s="612"/>
      <c r="BD638" s="609"/>
      <c r="BE638" s="117"/>
      <c r="BF638" s="118"/>
    </row>
    <row r="639" spans="1:58" s="120" customFormat="1" ht="35.1" customHeight="1" x14ac:dyDescent="0.25">
      <c r="A639" s="128"/>
      <c r="B639" s="664"/>
      <c r="C639" s="673"/>
      <c r="D639" s="753"/>
      <c r="E639" s="754"/>
      <c r="F639" s="750"/>
      <c r="G639" s="655"/>
      <c r="H639" s="547"/>
      <c r="I639" s="662"/>
      <c r="J639" s="655"/>
      <c r="K639" s="553"/>
      <c r="L639" s="662"/>
      <c r="M639" s="662"/>
      <c r="N639" s="662"/>
      <c r="O639" s="747"/>
      <c r="P639" s="547"/>
      <c r="Q639" s="657"/>
      <c r="R639" s="657"/>
      <c r="S639" s="657"/>
      <c r="T639" s="659"/>
      <c r="U639" s="121" t="s">
        <v>1032</v>
      </c>
      <c r="V639" s="435">
        <v>0.01</v>
      </c>
      <c r="W639" s="435">
        <v>101</v>
      </c>
      <c r="X639" s="435">
        <v>0.01</v>
      </c>
      <c r="Y639" s="435">
        <v>0.01</v>
      </c>
      <c r="Z639" s="435">
        <v>0.01</v>
      </c>
      <c r="AA639" s="435">
        <f>+W639</f>
        <v>101</v>
      </c>
      <c r="AB639" s="435">
        <v>0.01</v>
      </c>
      <c r="AC639" s="435">
        <f>+W639+Y639</f>
        <v>101.01</v>
      </c>
      <c r="AD639" s="649"/>
      <c r="AE639" s="652"/>
      <c r="AF639" s="652"/>
      <c r="AG639" s="652"/>
      <c r="AH639" s="672"/>
      <c r="AI639" s="672"/>
      <c r="AJ639" s="672"/>
      <c r="AK639" s="672"/>
      <c r="AL639" s="672"/>
      <c r="AM639" s="672"/>
      <c r="AN639" s="672"/>
      <c r="AO639" s="672"/>
      <c r="AP639" s="672"/>
      <c r="AQ639" s="672"/>
      <c r="AR639" s="672"/>
      <c r="AS639" s="672"/>
      <c r="AT639" s="190" t="s">
        <v>131</v>
      </c>
      <c r="AU639" s="203">
        <f>+AU638*$H$638</f>
        <v>0</v>
      </c>
      <c r="AV639" s="203">
        <f t="shared" ref="AV639:BB639" si="496">+AV638*$H$638</f>
        <v>0</v>
      </c>
      <c r="AW639" s="203">
        <f t="shared" si="496"/>
        <v>0</v>
      </c>
      <c r="AX639" s="203">
        <f t="shared" si="496"/>
        <v>0</v>
      </c>
      <c r="AY639" s="203">
        <f t="shared" si="496"/>
        <v>0</v>
      </c>
      <c r="AZ639" s="203">
        <f t="shared" si="496"/>
        <v>0</v>
      </c>
      <c r="BA639" s="203">
        <f t="shared" si="496"/>
        <v>0</v>
      </c>
      <c r="BB639" s="204">
        <f t="shared" si="496"/>
        <v>0</v>
      </c>
      <c r="BC639" s="612"/>
      <c r="BD639" s="609"/>
      <c r="BE639" s="117"/>
      <c r="BF639" s="118"/>
    </row>
    <row r="640" spans="1:58" s="120" customFormat="1" ht="24.95" customHeight="1" x14ac:dyDescent="0.25">
      <c r="A640" s="128"/>
      <c r="B640" s="664"/>
      <c r="C640" s="673"/>
      <c r="D640" s="753"/>
      <c r="E640" s="754"/>
      <c r="F640" s="750"/>
      <c r="G640" s="655"/>
      <c r="H640" s="548"/>
      <c r="I640" s="663"/>
      <c r="J640" s="656"/>
      <c r="K640" s="554"/>
      <c r="L640" s="663"/>
      <c r="M640" s="663"/>
      <c r="N640" s="663"/>
      <c r="O640" s="752"/>
      <c r="P640" s="548"/>
      <c r="Q640" s="657"/>
      <c r="R640" s="657"/>
      <c r="S640" s="657"/>
      <c r="T640" s="660"/>
      <c r="U640" s="125" t="s">
        <v>96</v>
      </c>
      <c r="V640" s="197">
        <f>IF((V638/V639)&lt;$I$8,(V638/V639),IF((V638/V639)&lt;$J$8,(V638/V639),IF((V638/V639)&lt;$J$8,(V638/V639),IF((V638/V639)&gt;=$J$9,$J$9))))</f>
        <v>0</v>
      </c>
      <c r="W640" s="196">
        <f>IF((W638/W639)&lt;$I$8,(W638/W639),IF((W638/W639)&lt;$J$8,(W638/W639),IF((W638/W639)&lt;$J$8,(W638/W639),IF((W638/W639)&gt;=$J$9,$J$9))))</f>
        <v>0</v>
      </c>
      <c r="X640" s="197">
        <f>IF((X638/X639)&lt;$I$8,(X638/X639),IF((X638/X639)&lt;$J$8,(X638/X639),IF((X638/X639)&lt;$J$8,(X638/X639),IF((X638/X639)&gt;=$J$9,$J$9))))</f>
        <v>0</v>
      </c>
      <c r="Y640" s="196">
        <f t="shared" ref="Y640:AC640" si="497">IF((Y638/Y639)&lt;$I$8,(Y638/Y639),IF((Y638/Y639)&lt;$J$8,(Y638/Y639),IF((Y638/Y639)&lt;$J$9,(Y638/Y639),IF((Y638/Y639)&gt;=$J$9,$J$9))))</f>
        <v>0</v>
      </c>
      <c r="Z640" s="197">
        <f>IF((Z638/Z639)&lt;$I$8,(Z638/Z639),IF((Z638/Z639)&lt;$J$8,(Z638/Z639),IF((Z638/Z639)&lt;$J$8,(Z638/Z639),IF((Z638/Z639)&gt;=$J$9,$J$9))))</f>
        <v>0</v>
      </c>
      <c r="AA640" s="196">
        <f t="shared" si="497"/>
        <v>0</v>
      </c>
      <c r="AB640" s="197">
        <f>IF((AB638/AB639)&lt;$I$8,(AB638/AB639),IF((AB638/AB639)&lt;$J$8,(AB638/AB639),IF((AB638/AB639)&lt;$J$8,(AB638/AB639),IF((AB638/AB639)&gt;=$J$9,$J$9))))</f>
        <v>0</v>
      </c>
      <c r="AC640" s="196">
        <f t="shared" si="497"/>
        <v>0</v>
      </c>
      <c r="AD640" s="650"/>
      <c r="AE640" s="653"/>
      <c r="AF640" s="653"/>
      <c r="AG640" s="653"/>
      <c r="AH640" s="672"/>
      <c r="AI640" s="672"/>
      <c r="AJ640" s="672"/>
      <c r="AK640" s="672"/>
      <c r="AL640" s="672"/>
      <c r="AM640" s="672"/>
      <c r="AN640" s="672"/>
      <c r="AO640" s="672"/>
      <c r="AP640" s="672"/>
      <c r="AQ640" s="672"/>
      <c r="AR640" s="672"/>
      <c r="AS640" s="672"/>
      <c r="AT640" s="190" t="s">
        <v>132</v>
      </c>
      <c r="AU640" s="575"/>
      <c r="AV640" s="576"/>
      <c r="AW640" s="576"/>
      <c r="AX640" s="576"/>
      <c r="AY640" s="576"/>
      <c r="AZ640" s="576"/>
      <c r="BA640" s="576"/>
      <c r="BB640" s="577"/>
      <c r="BC640" s="612"/>
      <c r="BD640" s="609"/>
      <c r="BE640" s="117"/>
      <c r="BF640" s="118"/>
    </row>
    <row r="641" spans="1:58" s="120" customFormat="1" ht="35.1" customHeight="1" x14ac:dyDescent="0.25">
      <c r="A641" s="128"/>
      <c r="B641" s="664"/>
      <c r="C641" s="665">
        <v>5</v>
      </c>
      <c r="D641" s="753"/>
      <c r="E641" s="754"/>
      <c r="F641" s="750"/>
      <c r="G641" s="655"/>
      <c r="H641" s="546">
        <v>0.1</v>
      </c>
      <c r="I641" s="661" t="s">
        <v>1033</v>
      </c>
      <c r="J641" s="654">
        <v>1</v>
      </c>
      <c r="K641" s="552" t="s">
        <v>1034</v>
      </c>
      <c r="L641" s="678" t="s">
        <v>1035</v>
      </c>
      <c r="M641" s="661" t="str">
        <f>CONCATENATE(U641,$U$14,U642)</f>
        <v>Solicitudes internas atendidos oportunamenteTotal de Solicitudes internas notificadas</v>
      </c>
      <c r="N641" s="661" t="s">
        <v>1036</v>
      </c>
      <c r="O641" s="661" t="s">
        <v>757</v>
      </c>
      <c r="P641" s="657">
        <v>0.06</v>
      </c>
      <c r="Q641" s="657">
        <v>1</v>
      </c>
      <c r="R641" s="657">
        <v>1</v>
      </c>
      <c r="S641" s="657">
        <v>1</v>
      </c>
      <c r="T641" s="658" t="s">
        <v>151</v>
      </c>
      <c r="U641" s="112" t="s">
        <v>1037</v>
      </c>
      <c r="V641" s="434"/>
      <c r="W641" s="434"/>
      <c r="X641" s="434"/>
      <c r="Y641" s="434"/>
      <c r="Z641" s="114"/>
      <c r="AA641" s="114"/>
      <c r="AB641" s="114"/>
      <c r="AC641" s="114"/>
      <c r="AD641" s="648">
        <f>+AE641+AF641+AG641</f>
        <v>594154774</v>
      </c>
      <c r="AE641" s="651">
        <v>226214654</v>
      </c>
      <c r="AF641" s="651">
        <v>73689000</v>
      </c>
      <c r="AG641" s="651">
        <v>294251120</v>
      </c>
      <c r="AH641" s="672" t="s">
        <v>1038</v>
      </c>
      <c r="AI641" s="672" t="s">
        <v>1038</v>
      </c>
      <c r="AJ641" s="672" t="s">
        <v>94</v>
      </c>
      <c r="AK641" s="672"/>
      <c r="AL641" s="672"/>
      <c r="AM641" s="672"/>
      <c r="AN641" s="672"/>
      <c r="AO641" s="672" t="s">
        <v>94</v>
      </c>
      <c r="AP641" s="672"/>
      <c r="AQ641" s="672" t="s">
        <v>94</v>
      </c>
      <c r="AR641" s="672"/>
      <c r="AS641" s="672"/>
      <c r="AT641" s="190" t="s">
        <v>129</v>
      </c>
      <c r="AU641" s="203">
        <f t="shared" ref="AU641:BB641" si="498">+V643*$J$641</f>
        <v>0</v>
      </c>
      <c r="AV641" s="203">
        <f t="shared" si="498"/>
        <v>0</v>
      </c>
      <c r="AW641" s="203">
        <f t="shared" si="498"/>
        <v>0</v>
      </c>
      <c r="AX641" s="203">
        <f t="shared" si="498"/>
        <v>0</v>
      </c>
      <c r="AY641" s="203">
        <f t="shared" si="498"/>
        <v>0</v>
      </c>
      <c r="AZ641" s="203">
        <f t="shared" si="498"/>
        <v>0</v>
      </c>
      <c r="BA641" s="203">
        <f t="shared" si="498"/>
        <v>0</v>
      </c>
      <c r="BB641" s="204">
        <f t="shared" si="498"/>
        <v>0</v>
      </c>
      <c r="BC641" s="612"/>
      <c r="BD641" s="609"/>
      <c r="BE641" s="117"/>
      <c r="BF641" s="118"/>
    </row>
    <row r="642" spans="1:58" s="120" customFormat="1" ht="35.1" customHeight="1" x14ac:dyDescent="0.25">
      <c r="A642" s="128"/>
      <c r="B642" s="664"/>
      <c r="C642" s="665"/>
      <c r="D642" s="753"/>
      <c r="E642" s="754"/>
      <c r="F642" s="750"/>
      <c r="G642" s="655"/>
      <c r="H642" s="547"/>
      <c r="I642" s="662"/>
      <c r="J642" s="655"/>
      <c r="K642" s="553"/>
      <c r="L642" s="678"/>
      <c r="M642" s="662"/>
      <c r="N642" s="662"/>
      <c r="O642" s="662"/>
      <c r="P642" s="657"/>
      <c r="Q642" s="657"/>
      <c r="R642" s="657"/>
      <c r="S642" s="657"/>
      <c r="T642" s="659"/>
      <c r="U642" s="121" t="s">
        <v>1039</v>
      </c>
      <c r="V642" s="435">
        <v>127</v>
      </c>
      <c r="W642" s="435">
        <v>133</v>
      </c>
      <c r="X642" s="435">
        <v>0.01</v>
      </c>
      <c r="Y642" s="435">
        <v>0.01</v>
      </c>
      <c r="Z642" s="435">
        <f>+V642</f>
        <v>127</v>
      </c>
      <c r="AA642" s="435">
        <f>+V642+W642</f>
        <v>260</v>
      </c>
      <c r="AB642" s="435">
        <f>+V642+W642+X642</f>
        <v>260.01</v>
      </c>
      <c r="AC642" s="435">
        <f>+V642+W642+X642+Y642</f>
        <v>260.02</v>
      </c>
      <c r="AD642" s="649"/>
      <c r="AE642" s="652"/>
      <c r="AF642" s="652"/>
      <c r="AG642" s="652"/>
      <c r="AH642" s="672"/>
      <c r="AI642" s="672"/>
      <c r="AJ642" s="672"/>
      <c r="AK642" s="672"/>
      <c r="AL642" s="672"/>
      <c r="AM642" s="672"/>
      <c r="AN642" s="672"/>
      <c r="AO642" s="672"/>
      <c r="AP642" s="672"/>
      <c r="AQ642" s="672"/>
      <c r="AR642" s="672"/>
      <c r="AS642" s="672"/>
      <c r="AT642" s="190" t="s">
        <v>131</v>
      </c>
      <c r="AU642" s="203">
        <f>+AU641*$H$641</f>
        <v>0</v>
      </c>
      <c r="AV642" s="203">
        <f t="shared" ref="AV642:BB642" si="499">+AV641*$H$641</f>
        <v>0</v>
      </c>
      <c r="AW642" s="203">
        <f t="shared" si="499"/>
        <v>0</v>
      </c>
      <c r="AX642" s="203">
        <f t="shared" si="499"/>
        <v>0</v>
      </c>
      <c r="AY642" s="203">
        <f t="shared" si="499"/>
        <v>0</v>
      </c>
      <c r="AZ642" s="203">
        <f t="shared" si="499"/>
        <v>0</v>
      </c>
      <c r="BA642" s="203">
        <f t="shared" si="499"/>
        <v>0</v>
      </c>
      <c r="BB642" s="204">
        <f t="shared" si="499"/>
        <v>0</v>
      </c>
      <c r="BC642" s="612"/>
      <c r="BD642" s="609"/>
      <c r="BE642" s="117"/>
      <c r="BF642" s="118"/>
    </row>
    <row r="643" spans="1:58" s="120" customFormat="1" ht="24.95" customHeight="1" x14ac:dyDescent="0.25">
      <c r="A643" s="128"/>
      <c r="B643" s="664"/>
      <c r="C643" s="665"/>
      <c r="D643" s="753"/>
      <c r="E643" s="754"/>
      <c r="F643" s="750"/>
      <c r="G643" s="655"/>
      <c r="H643" s="548"/>
      <c r="I643" s="663"/>
      <c r="J643" s="656"/>
      <c r="K643" s="554"/>
      <c r="L643" s="678"/>
      <c r="M643" s="663"/>
      <c r="N643" s="663"/>
      <c r="O643" s="663"/>
      <c r="P643" s="657"/>
      <c r="Q643" s="657"/>
      <c r="R643" s="657"/>
      <c r="S643" s="657"/>
      <c r="T643" s="660"/>
      <c r="U643" s="125" t="s">
        <v>96</v>
      </c>
      <c r="V643" s="196">
        <f>IF((V641/V642)&lt;$I$8,(V641/V642),IF((V641/V642)&lt;$J$8,(V641/V642),IF((V641/V642)&lt;$J$8,(V641/V642),IF((V641/V642)&gt;=$J$9,$J$9))))</f>
        <v>0</v>
      </c>
      <c r="W643" s="123">
        <f>IF((W641/W642)&lt;$I$8,(W641/W642),IF((W641/W642)&lt;$J$8,(W641/W642),IF((W641/W642)&lt;$J$9,(W641/W642),IF((W641/W642)&gt;=$J$9,$J$9))))</f>
        <v>0</v>
      </c>
      <c r="X643" s="196">
        <f t="shared" ref="X643" si="500">IF((X641/X642)&lt;$I$8,(X641/X642),IF((X641/X642)&lt;$J$8,(X641/X642),IF((X641/X642)&lt;$J$8,(X641/X642),IF((X641/X642)&gt;=$J$9,$J$9))))</f>
        <v>0</v>
      </c>
      <c r="Y643" s="196">
        <f t="shared" ref="Y643:AC643" si="501">IF((Y641/Y642)&lt;$I$8,(Y641/Y642),IF((Y641/Y642)&lt;$J$8,(Y641/Y642),IF((Y641/Y642)&lt;$J$9,(Y641/Y642),IF((Y641/Y642)&gt;=$J$9,$J$9))))</f>
        <v>0</v>
      </c>
      <c r="Z643" s="196">
        <f>IF((Z641/Z642)&lt;$I$8,(Z641/Z642),IF((Z641/Z642)&lt;$J$8,(Z641/Z642),IF((Z641/Z642)&lt;$J$8,(Z641/Z642),IF((Z641/Z642)&gt;=$J$9,$J$9))))</f>
        <v>0</v>
      </c>
      <c r="AA643" s="196">
        <f t="shared" si="501"/>
        <v>0</v>
      </c>
      <c r="AB643" s="196">
        <f>IF((AB641/AB642)&lt;$I$8,(AB641/AB642),IF((AB641/AB642)&lt;$J$8,(AB641/AB642),IF((AB641/AB642)&lt;$J$8,(AB641/AB642),IF((AB641/AB642)&gt;=$J$9,$J$9))))</f>
        <v>0</v>
      </c>
      <c r="AC643" s="196">
        <f t="shared" si="501"/>
        <v>0</v>
      </c>
      <c r="AD643" s="649"/>
      <c r="AE643" s="652"/>
      <c r="AF643" s="652"/>
      <c r="AG643" s="652"/>
      <c r="AH643" s="672"/>
      <c r="AI643" s="672"/>
      <c r="AJ643" s="672"/>
      <c r="AK643" s="672"/>
      <c r="AL643" s="672"/>
      <c r="AM643" s="672"/>
      <c r="AN643" s="672"/>
      <c r="AO643" s="672"/>
      <c r="AP643" s="672"/>
      <c r="AQ643" s="672"/>
      <c r="AR643" s="672"/>
      <c r="AS643" s="672"/>
      <c r="AT643" s="190" t="s">
        <v>132</v>
      </c>
      <c r="AU643" s="575"/>
      <c r="AV643" s="576"/>
      <c r="AW643" s="576"/>
      <c r="AX643" s="576"/>
      <c r="AY643" s="576"/>
      <c r="AZ643" s="576"/>
      <c r="BA643" s="576"/>
      <c r="BB643" s="577"/>
      <c r="BC643" s="612"/>
      <c r="BD643" s="609"/>
      <c r="BE643" s="117"/>
      <c r="BF643" s="118"/>
    </row>
    <row r="644" spans="1:58" s="120" customFormat="1" ht="35.1" customHeight="1" x14ac:dyDescent="0.25">
      <c r="A644" s="128"/>
      <c r="B644" s="664"/>
      <c r="C644" s="665">
        <v>6</v>
      </c>
      <c r="D644" s="753"/>
      <c r="E644" s="754"/>
      <c r="F644" s="750"/>
      <c r="G644" s="655"/>
      <c r="H644" s="546">
        <v>0.1</v>
      </c>
      <c r="I644" s="661" t="s">
        <v>1040</v>
      </c>
      <c r="J644" s="654">
        <v>1</v>
      </c>
      <c r="K644" s="552" t="s">
        <v>1041</v>
      </c>
      <c r="L644" s="678" t="s">
        <v>1042</v>
      </c>
      <c r="M644" s="661" t="str">
        <f>CONCATENATE(U644,$U$14,U645)</f>
        <v>Solicitudes externas atendidas oportunamenteTotal de Solicitudes externas notificadas</v>
      </c>
      <c r="N644" s="661" t="s">
        <v>1036</v>
      </c>
      <c r="O644" s="661" t="s">
        <v>757</v>
      </c>
      <c r="P644" s="657">
        <v>0.06</v>
      </c>
      <c r="Q644" s="657">
        <v>1</v>
      </c>
      <c r="R644" s="657">
        <v>1</v>
      </c>
      <c r="S644" s="657">
        <v>1</v>
      </c>
      <c r="T644" s="658" t="s">
        <v>151</v>
      </c>
      <c r="U644" s="112" t="s">
        <v>1043</v>
      </c>
      <c r="V644" s="434"/>
      <c r="W644" s="434"/>
      <c r="X644" s="434"/>
      <c r="Y644" s="434"/>
      <c r="Z644" s="114"/>
      <c r="AA644" s="114"/>
      <c r="AB644" s="114"/>
      <c r="AC644" s="114"/>
      <c r="AD644" s="649"/>
      <c r="AE644" s="652"/>
      <c r="AF644" s="652"/>
      <c r="AG644" s="652"/>
      <c r="AH644" s="672" t="s">
        <v>1038</v>
      </c>
      <c r="AI644" s="672" t="s">
        <v>1038</v>
      </c>
      <c r="AJ644" s="672" t="s">
        <v>94</v>
      </c>
      <c r="AK644" s="672"/>
      <c r="AL644" s="672"/>
      <c r="AM644" s="672"/>
      <c r="AN644" s="672"/>
      <c r="AO644" s="672" t="s">
        <v>94</v>
      </c>
      <c r="AP644" s="672"/>
      <c r="AQ644" s="672" t="s">
        <v>94</v>
      </c>
      <c r="AR644" s="672"/>
      <c r="AS644" s="672"/>
      <c r="AT644" s="190" t="s">
        <v>129</v>
      </c>
      <c r="AU644" s="203">
        <f t="shared" ref="AU644:BB644" si="502">+V646*$J$644</f>
        <v>0</v>
      </c>
      <c r="AV644" s="203">
        <f t="shared" si="502"/>
        <v>0</v>
      </c>
      <c r="AW644" s="203">
        <f t="shared" si="502"/>
        <v>0</v>
      </c>
      <c r="AX644" s="203">
        <f t="shared" si="502"/>
        <v>0</v>
      </c>
      <c r="AY644" s="203">
        <f t="shared" si="502"/>
        <v>0</v>
      </c>
      <c r="AZ644" s="203">
        <f t="shared" si="502"/>
        <v>0</v>
      </c>
      <c r="BA644" s="203">
        <f t="shared" si="502"/>
        <v>0</v>
      </c>
      <c r="BB644" s="204">
        <f t="shared" si="502"/>
        <v>0</v>
      </c>
      <c r="BC644" s="612"/>
      <c r="BD644" s="609"/>
      <c r="BE644" s="117"/>
      <c r="BF644" s="118"/>
    </row>
    <row r="645" spans="1:58" s="120" customFormat="1" ht="35.1" customHeight="1" x14ac:dyDescent="0.25">
      <c r="A645" s="128"/>
      <c r="B645" s="664"/>
      <c r="C645" s="665"/>
      <c r="D645" s="753"/>
      <c r="E645" s="754"/>
      <c r="F645" s="750"/>
      <c r="G645" s="655"/>
      <c r="H645" s="547"/>
      <c r="I645" s="662"/>
      <c r="J645" s="655"/>
      <c r="K645" s="553"/>
      <c r="L645" s="678"/>
      <c r="M645" s="662"/>
      <c r="N645" s="662"/>
      <c r="O645" s="662"/>
      <c r="P645" s="657"/>
      <c r="Q645" s="657"/>
      <c r="R645" s="657"/>
      <c r="S645" s="657"/>
      <c r="T645" s="659"/>
      <c r="U645" s="121" t="s">
        <v>1044</v>
      </c>
      <c r="V645" s="435">
        <v>66</v>
      </c>
      <c r="W645" s="435">
        <v>55</v>
      </c>
      <c r="X645" s="435">
        <v>0.01</v>
      </c>
      <c r="Y645" s="435">
        <v>0.01</v>
      </c>
      <c r="Z645" s="435">
        <f>+V645</f>
        <v>66</v>
      </c>
      <c r="AA645" s="435">
        <f>+V645+W645</f>
        <v>121</v>
      </c>
      <c r="AB645" s="435">
        <f>+V645+W645+X645</f>
        <v>121.01</v>
      </c>
      <c r="AC645" s="435">
        <f>+V645+W645+X645+Y645</f>
        <v>121.02000000000001</v>
      </c>
      <c r="AD645" s="649"/>
      <c r="AE645" s="652"/>
      <c r="AF645" s="652"/>
      <c r="AG645" s="652"/>
      <c r="AH645" s="672"/>
      <c r="AI645" s="672"/>
      <c r="AJ645" s="672"/>
      <c r="AK645" s="672"/>
      <c r="AL645" s="672"/>
      <c r="AM645" s="672"/>
      <c r="AN645" s="672"/>
      <c r="AO645" s="672"/>
      <c r="AP645" s="672"/>
      <c r="AQ645" s="672"/>
      <c r="AR645" s="672"/>
      <c r="AS645" s="672"/>
      <c r="AT645" s="190" t="s">
        <v>131</v>
      </c>
      <c r="AU645" s="203">
        <f>+AU644*$H$644</f>
        <v>0</v>
      </c>
      <c r="AV645" s="203">
        <f t="shared" ref="AV645:BB645" si="503">+AV644*$H$644</f>
        <v>0</v>
      </c>
      <c r="AW645" s="203">
        <f t="shared" si="503"/>
        <v>0</v>
      </c>
      <c r="AX645" s="203">
        <f t="shared" si="503"/>
        <v>0</v>
      </c>
      <c r="AY645" s="203">
        <f t="shared" si="503"/>
        <v>0</v>
      </c>
      <c r="AZ645" s="203">
        <f t="shared" si="503"/>
        <v>0</v>
      </c>
      <c r="BA645" s="203">
        <f t="shared" si="503"/>
        <v>0</v>
      </c>
      <c r="BB645" s="204">
        <f t="shared" si="503"/>
        <v>0</v>
      </c>
      <c r="BC645" s="612"/>
      <c r="BD645" s="609"/>
      <c r="BE645" s="117"/>
      <c r="BF645" s="118"/>
    </row>
    <row r="646" spans="1:58" s="120" customFormat="1" ht="24.95" customHeight="1" x14ac:dyDescent="0.25">
      <c r="A646" s="128"/>
      <c r="B646" s="664"/>
      <c r="C646" s="665"/>
      <c r="D646" s="753"/>
      <c r="E646" s="754"/>
      <c r="F646" s="751"/>
      <c r="G646" s="656"/>
      <c r="H646" s="548"/>
      <c r="I646" s="663"/>
      <c r="J646" s="656"/>
      <c r="K646" s="554"/>
      <c r="L646" s="678"/>
      <c r="M646" s="663"/>
      <c r="N646" s="663"/>
      <c r="O646" s="663"/>
      <c r="P646" s="657"/>
      <c r="Q646" s="657"/>
      <c r="R646" s="657"/>
      <c r="S646" s="657"/>
      <c r="T646" s="660"/>
      <c r="U646" s="125" t="s">
        <v>96</v>
      </c>
      <c r="V646" s="196">
        <f>IF((V644/V645)&lt;$I$8,(V644/V645),IF((V644/V645)&lt;$J$8,(V644/V645),IF((V644/V645)&lt;$J$8,(V644/V645),IF((V644/V645)&gt;=$J$9,$J$9))))</f>
        <v>0</v>
      </c>
      <c r="W646" s="123">
        <f>+IF((W644/W645)&lt;$I$8,(W644/W645),IF((W644/W645)&lt;$J$8,(W644/W645),IF((W644/W645)&lt;$J$9,(W644/W645),IF((W644/W645)&gt;=$J$9,$J$9))))</f>
        <v>0</v>
      </c>
      <c r="X646" s="196">
        <f t="shared" ref="X646" si="504">IF((X644/X645)&lt;$I$8,(X644/X645),IF((X644/X645)&lt;$J$8,(X644/X645),IF((X644/X645)&lt;$J$8,(X644/X645),IF((X644/X645)&gt;=$J$9,$J$9))))</f>
        <v>0</v>
      </c>
      <c r="Y646" s="196">
        <f t="shared" ref="Y646:AC646" si="505">IF((Y644/Y645)&lt;$I$8,(Y644/Y645),IF((Y644/Y645)&lt;$J$8,(Y644/Y645),IF((Y644/Y645)&lt;$J$9,(Y644/Y645),IF((Y644/Y645)&gt;=$J$9,$J$9))))</f>
        <v>0</v>
      </c>
      <c r="Z646" s="196">
        <f t="shared" si="505"/>
        <v>0</v>
      </c>
      <c r="AA646" s="196">
        <f t="shared" si="505"/>
        <v>0</v>
      </c>
      <c r="AB646" s="196">
        <f t="shared" si="505"/>
        <v>0</v>
      </c>
      <c r="AC646" s="196">
        <f t="shared" si="505"/>
        <v>0</v>
      </c>
      <c r="AD646" s="649"/>
      <c r="AE646" s="652"/>
      <c r="AF646" s="652"/>
      <c r="AG646" s="652"/>
      <c r="AH646" s="672"/>
      <c r="AI646" s="672"/>
      <c r="AJ646" s="672"/>
      <c r="AK646" s="672"/>
      <c r="AL646" s="672"/>
      <c r="AM646" s="672"/>
      <c r="AN646" s="672"/>
      <c r="AO646" s="672"/>
      <c r="AP646" s="672"/>
      <c r="AQ646" s="672"/>
      <c r="AR646" s="672"/>
      <c r="AS646" s="672"/>
      <c r="AT646" s="190" t="s">
        <v>132</v>
      </c>
      <c r="AU646" s="575"/>
      <c r="AV646" s="576"/>
      <c r="AW646" s="576"/>
      <c r="AX646" s="576"/>
      <c r="AY646" s="576"/>
      <c r="AZ646" s="576"/>
      <c r="BA646" s="576"/>
      <c r="BB646" s="577"/>
      <c r="BC646" s="612"/>
      <c r="BD646" s="609"/>
      <c r="BE646" s="117"/>
      <c r="BF646" s="118"/>
    </row>
    <row r="647" spans="1:58" s="120" customFormat="1" ht="35.1" customHeight="1" x14ac:dyDescent="0.25">
      <c r="A647" s="675"/>
      <c r="B647" s="664"/>
      <c r="C647" s="673">
        <v>7</v>
      </c>
      <c r="D647" s="753"/>
      <c r="E647" s="754"/>
      <c r="F647" s="749">
        <v>0.05</v>
      </c>
      <c r="G647" s="654" t="s">
        <v>337</v>
      </c>
      <c r="H647" s="546">
        <v>1</v>
      </c>
      <c r="I647" s="661" t="s">
        <v>901</v>
      </c>
      <c r="J647" s="654">
        <v>1</v>
      </c>
      <c r="K647" s="552" t="s">
        <v>647</v>
      </c>
      <c r="L647" s="667" t="s">
        <v>1045</v>
      </c>
      <c r="M647" s="661" t="str">
        <f>CONCATENATE(U647,$U$14,U648)</f>
        <v>No. de Procedimientos revisados No. de Procedimientos vigentes programados para revisión</v>
      </c>
      <c r="N647" s="661" t="s">
        <v>1046</v>
      </c>
      <c r="O647" s="746" t="s">
        <v>765</v>
      </c>
      <c r="P647" s="657">
        <v>0.05</v>
      </c>
      <c r="Q647" s="657">
        <v>1</v>
      </c>
      <c r="R647" s="657">
        <v>1</v>
      </c>
      <c r="S647" s="657">
        <v>1</v>
      </c>
      <c r="T647" s="658" t="s">
        <v>151</v>
      </c>
      <c r="U647" s="112" t="s">
        <v>342</v>
      </c>
      <c r="V647" s="434"/>
      <c r="W647" s="434"/>
      <c r="X647" s="434"/>
      <c r="Y647" s="434"/>
      <c r="Z647" s="114"/>
      <c r="AA647" s="114"/>
      <c r="AB647" s="114"/>
      <c r="AC647" s="114"/>
      <c r="AD647" s="649"/>
      <c r="AE647" s="652"/>
      <c r="AF647" s="652"/>
      <c r="AG647" s="652"/>
      <c r="AH647" s="672" t="s">
        <v>1047</v>
      </c>
      <c r="AI647" s="672" t="s">
        <v>1048</v>
      </c>
      <c r="AJ647" s="672" t="s">
        <v>94</v>
      </c>
      <c r="AK647" s="672"/>
      <c r="AL647" s="672"/>
      <c r="AM647" s="672"/>
      <c r="AN647" s="672"/>
      <c r="AO647" s="672" t="s">
        <v>94</v>
      </c>
      <c r="AP647" s="672"/>
      <c r="AQ647" s="672" t="s">
        <v>94</v>
      </c>
      <c r="AR647" s="672"/>
      <c r="AS647" s="672"/>
      <c r="AT647" s="190" t="s">
        <v>129</v>
      </c>
      <c r="AU647" s="203">
        <f t="shared" ref="AU647:BB647" si="506">+V649*$J$647</f>
        <v>0</v>
      </c>
      <c r="AV647" s="203">
        <f t="shared" si="506"/>
        <v>0</v>
      </c>
      <c r="AW647" s="203">
        <f t="shared" si="506"/>
        <v>0</v>
      </c>
      <c r="AX647" s="203">
        <f t="shared" si="506"/>
        <v>0</v>
      </c>
      <c r="AY647" s="203">
        <f t="shared" si="506"/>
        <v>0</v>
      </c>
      <c r="AZ647" s="203">
        <f t="shared" si="506"/>
        <v>0</v>
      </c>
      <c r="BA647" s="203">
        <f t="shared" si="506"/>
        <v>0</v>
      </c>
      <c r="BB647" s="204">
        <f t="shared" si="506"/>
        <v>0</v>
      </c>
      <c r="BC647" s="612"/>
      <c r="BD647" s="609"/>
      <c r="BE647" s="117"/>
      <c r="BF647" s="118"/>
    </row>
    <row r="648" spans="1:58" s="120" customFormat="1" ht="35.1" customHeight="1" x14ac:dyDescent="0.25">
      <c r="A648" s="675"/>
      <c r="B648" s="664"/>
      <c r="C648" s="673"/>
      <c r="D648" s="753"/>
      <c r="E648" s="754"/>
      <c r="F648" s="750"/>
      <c r="G648" s="655"/>
      <c r="H648" s="547"/>
      <c r="I648" s="662"/>
      <c r="J648" s="655"/>
      <c r="K648" s="553"/>
      <c r="L648" s="667"/>
      <c r="M648" s="662"/>
      <c r="N648" s="662"/>
      <c r="O648" s="747"/>
      <c r="P648" s="657"/>
      <c r="Q648" s="657"/>
      <c r="R648" s="657"/>
      <c r="S648" s="657"/>
      <c r="T648" s="659"/>
      <c r="U648" s="121" t="s">
        <v>345</v>
      </c>
      <c r="V648" s="435">
        <v>0.01</v>
      </c>
      <c r="W648" s="301">
        <v>1</v>
      </c>
      <c r="X648" s="301">
        <v>0.01</v>
      </c>
      <c r="Y648" s="301">
        <v>0.01</v>
      </c>
      <c r="Z648" s="435">
        <f>+V648</f>
        <v>0.01</v>
      </c>
      <c r="AA648" s="435">
        <f>+V648+W648</f>
        <v>1.01</v>
      </c>
      <c r="AB648" s="435">
        <f>+V648+W648+X648</f>
        <v>1.02</v>
      </c>
      <c r="AC648" s="435">
        <f>+V648+W648+X648+Y648</f>
        <v>1.03</v>
      </c>
      <c r="AD648" s="649"/>
      <c r="AE648" s="652"/>
      <c r="AF648" s="652"/>
      <c r="AG648" s="652"/>
      <c r="AH648" s="672"/>
      <c r="AI648" s="672"/>
      <c r="AJ648" s="672"/>
      <c r="AK648" s="672"/>
      <c r="AL648" s="672"/>
      <c r="AM648" s="672"/>
      <c r="AN648" s="672"/>
      <c r="AO648" s="672"/>
      <c r="AP648" s="672"/>
      <c r="AQ648" s="672"/>
      <c r="AR648" s="672"/>
      <c r="AS648" s="672"/>
      <c r="AT648" s="190" t="s">
        <v>131</v>
      </c>
      <c r="AU648" s="203">
        <f>+AU647*$H$647</f>
        <v>0</v>
      </c>
      <c r="AV648" s="203">
        <f t="shared" ref="AV648:BB648" si="507">+AV647*$H$647</f>
        <v>0</v>
      </c>
      <c r="AW648" s="203">
        <f t="shared" si="507"/>
        <v>0</v>
      </c>
      <c r="AX648" s="203">
        <f t="shared" si="507"/>
        <v>0</v>
      </c>
      <c r="AY648" s="203">
        <f t="shared" si="507"/>
        <v>0</v>
      </c>
      <c r="AZ648" s="203">
        <f t="shared" si="507"/>
        <v>0</v>
      </c>
      <c r="BA648" s="203">
        <f t="shared" si="507"/>
        <v>0</v>
      </c>
      <c r="BB648" s="204">
        <f t="shared" si="507"/>
        <v>0</v>
      </c>
      <c r="BC648" s="612"/>
      <c r="BD648" s="609"/>
      <c r="BE648" s="117"/>
      <c r="BF648" s="118"/>
    </row>
    <row r="649" spans="1:58" s="120" customFormat="1" ht="24.95" customHeight="1" thickBot="1" x14ac:dyDescent="0.3">
      <c r="A649" s="675"/>
      <c r="B649" s="664"/>
      <c r="C649" s="673"/>
      <c r="D649" s="753"/>
      <c r="E649" s="754"/>
      <c r="F649" s="751"/>
      <c r="G649" s="656"/>
      <c r="H649" s="548"/>
      <c r="I649" s="663"/>
      <c r="J649" s="656"/>
      <c r="K649" s="554"/>
      <c r="L649" s="667"/>
      <c r="M649" s="663"/>
      <c r="N649" s="663"/>
      <c r="O649" s="748"/>
      <c r="P649" s="657"/>
      <c r="Q649" s="657"/>
      <c r="R649" s="657"/>
      <c r="S649" s="657"/>
      <c r="T649" s="660"/>
      <c r="U649" s="125" t="s">
        <v>96</v>
      </c>
      <c r="V649" s="197">
        <f>IF((V647/V648)&lt;$I$8,(V647/V648),IF((V647/V648)&lt;$J$8,(V647/V648),IF((V647/V648)&lt;$J$8,(V647/V648),IF((V647/V648)&gt;=$J$9,$J$9))))</f>
        <v>0</v>
      </c>
      <c r="W649" s="196">
        <f>IF((W647/W648)&lt;$I$8,(W647/W648),IF((W647/W648)&lt;$J$8,(W647/W648),IF((W647/W648)&lt;$J$8,(W647/W648),IF((W647/W648)&gt;=$J$9,$J$9))))</f>
        <v>0</v>
      </c>
      <c r="X649" s="197">
        <f t="shared" ref="X649:AC649" si="508">IF((X647/X648)&lt;$I$8,(X647/X648),IF((X647/X648)&lt;$J$8,(X647/X648),IF((X647/X648)&lt;$J$9,(X647/X648),IF((X647/X648)&gt;=$J$9,$J$9))))</f>
        <v>0</v>
      </c>
      <c r="Y649" s="197">
        <f t="shared" si="508"/>
        <v>0</v>
      </c>
      <c r="Z649" s="197">
        <f t="shared" si="508"/>
        <v>0</v>
      </c>
      <c r="AA649" s="196">
        <f t="shared" si="508"/>
        <v>0</v>
      </c>
      <c r="AB649" s="197">
        <f t="shared" si="508"/>
        <v>0</v>
      </c>
      <c r="AC649" s="197">
        <f t="shared" si="508"/>
        <v>0</v>
      </c>
      <c r="AD649" s="650"/>
      <c r="AE649" s="653"/>
      <c r="AF649" s="653"/>
      <c r="AG649" s="653"/>
      <c r="AH649" s="672"/>
      <c r="AI649" s="672"/>
      <c r="AJ649" s="672"/>
      <c r="AK649" s="672"/>
      <c r="AL649" s="672"/>
      <c r="AM649" s="672"/>
      <c r="AN649" s="672"/>
      <c r="AO649" s="672"/>
      <c r="AP649" s="672"/>
      <c r="AQ649" s="672"/>
      <c r="AR649" s="672"/>
      <c r="AS649" s="672"/>
      <c r="AT649" s="190" t="s">
        <v>132</v>
      </c>
      <c r="AU649" s="599"/>
      <c r="AV649" s="600"/>
      <c r="AW649" s="600"/>
      <c r="AX649" s="600"/>
      <c r="AY649" s="600"/>
      <c r="AZ649" s="600"/>
      <c r="BA649" s="600"/>
      <c r="BB649" s="601"/>
      <c r="BC649" s="613"/>
      <c r="BD649" s="610"/>
      <c r="BE649" s="117"/>
      <c r="BF649" s="118"/>
    </row>
    <row r="650" spans="1:58" s="159" customFormat="1" ht="24.95" hidden="1" customHeight="1" thickBot="1" x14ac:dyDescent="0.3">
      <c r="A650" s="44"/>
      <c r="B650" s="151"/>
      <c r="C650" s="178">
        <f>+C647+C616</f>
        <v>136</v>
      </c>
      <c r="D650" s="144"/>
      <c r="E650" s="67"/>
      <c r="F650" s="154"/>
      <c r="G650" s="154"/>
      <c r="H650" s="154"/>
      <c r="I650" s="154"/>
      <c r="J650" s="154"/>
      <c r="K650" s="155"/>
      <c r="L650" s="155"/>
      <c r="M650" s="155"/>
      <c r="N650" s="155"/>
      <c r="O650" s="155"/>
      <c r="P650" s="154"/>
      <c r="Q650" s="436">
        <v>9.3233082706766918E-3</v>
      </c>
      <c r="R650" s="154"/>
      <c r="S650" s="154"/>
      <c r="T650" s="154"/>
      <c r="U650" s="214"/>
      <c r="V650" s="157"/>
      <c r="W650" s="157"/>
      <c r="X650" s="157"/>
      <c r="Y650" s="157"/>
      <c r="Z650" s="157"/>
      <c r="AA650" s="157"/>
      <c r="AB650" s="157"/>
      <c r="AC650" s="157"/>
      <c r="AD650" s="158"/>
      <c r="AE650" s="157"/>
      <c r="AF650" s="157"/>
      <c r="AG650" s="157"/>
      <c r="AH650" s="157"/>
      <c r="AI650" s="157"/>
      <c r="AJ650" s="145">
        <f t="shared" ref="AJ650:AS650" si="509">COUNTA(AJ629:AJ649)</f>
        <v>7</v>
      </c>
      <c r="AK650" s="145">
        <f t="shared" si="509"/>
        <v>0</v>
      </c>
      <c r="AL650" s="145">
        <f t="shared" si="509"/>
        <v>0</v>
      </c>
      <c r="AM650" s="145">
        <f t="shared" si="509"/>
        <v>0</v>
      </c>
      <c r="AN650" s="145">
        <f t="shared" si="509"/>
        <v>2</v>
      </c>
      <c r="AO650" s="145">
        <f t="shared" si="509"/>
        <v>4</v>
      </c>
      <c r="AP650" s="145">
        <f t="shared" si="509"/>
        <v>1</v>
      </c>
      <c r="AQ650" s="145">
        <f t="shared" si="509"/>
        <v>7</v>
      </c>
      <c r="AR650" s="145">
        <f t="shared" si="509"/>
        <v>0</v>
      </c>
      <c r="AS650" s="145">
        <f t="shared" si="509"/>
        <v>0</v>
      </c>
      <c r="AT650" s="157"/>
      <c r="AU650" s="430" t="e">
        <f t="shared" ref="AU650:BB650" si="510">+AU631</f>
        <v>#REF!</v>
      </c>
      <c r="AV650" s="430" t="e">
        <f t="shared" si="510"/>
        <v>#REF!</v>
      </c>
      <c r="AW650" s="430" t="e">
        <f t="shared" si="510"/>
        <v>#REF!</v>
      </c>
      <c r="AX650" s="437" t="e">
        <f t="shared" si="510"/>
        <v>#REF!</v>
      </c>
      <c r="AY650" s="360" t="e">
        <f t="shared" si="510"/>
        <v>#REF!</v>
      </c>
      <c r="AZ650" s="438" t="e">
        <f t="shared" si="510"/>
        <v>#REF!</v>
      </c>
      <c r="BA650" s="430" t="e">
        <f t="shared" si="510"/>
        <v>#REF!</v>
      </c>
      <c r="BB650" s="430" t="e">
        <f t="shared" si="510"/>
        <v>#REF!</v>
      </c>
      <c r="BC650" s="157"/>
      <c r="BD650" s="157"/>
      <c r="BE650" s="49"/>
      <c r="BF650" s="49"/>
    </row>
    <row r="651" spans="1:58" s="159" customFormat="1" ht="20.100000000000001" hidden="1" customHeight="1" x14ac:dyDescent="0.25">
      <c r="A651" s="271"/>
      <c r="B651" s="272"/>
      <c r="C651" s="107"/>
      <c r="D651" s="273"/>
      <c r="E651" s="273"/>
      <c r="F651" s="154"/>
      <c r="G651" s="154"/>
      <c r="H651" s="154"/>
      <c r="I651" s="155"/>
      <c r="J651" s="154"/>
      <c r="K651" s="155"/>
      <c r="L651" s="155"/>
      <c r="M651" s="155"/>
      <c r="N651" s="155"/>
      <c r="O651" s="155"/>
      <c r="P651" s="155"/>
      <c r="Q651" s="646" t="s">
        <v>154</v>
      </c>
      <c r="R651" s="646"/>
      <c r="S651" s="646"/>
      <c r="T651" s="646"/>
      <c r="U651" s="646"/>
      <c r="V651" s="156">
        <v>2</v>
      </c>
      <c r="W651" s="156">
        <v>8</v>
      </c>
      <c r="X651" s="156">
        <v>2</v>
      </c>
      <c r="Y651" s="156">
        <f>+C647</f>
        <v>7</v>
      </c>
      <c r="Z651" s="157"/>
      <c r="AA651" s="157"/>
      <c r="AB651" s="157"/>
      <c r="AC651" s="157"/>
      <c r="AD651" s="158"/>
      <c r="AE651" s="157"/>
      <c r="AF651" s="157"/>
      <c r="AG651" s="157"/>
      <c r="AH651" s="157"/>
      <c r="AI651" s="157"/>
      <c r="AJ651" s="157"/>
      <c r="AK651" s="157"/>
      <c r="AL651" s="157"/>
      <c r="AM651" s="157"/>
      <c r="AN651" s="157"/>
      <c r="AO651" s="157"/>
      <c r="AP651" s="157"/>
      <c r="AQ651" s="157"/>
      <c r="AR651" s="157"/>
      <c r="AS651" s="157"/>
      <c r="AT651" s="157"/>
      <c r="AU651" s="49"/>
      <c r="AV651" s="49"/>
      <c r="AW651" s="49"/>
      <c r="AX651" s="49"/>
      <c r="AY651" s="49"/>
      <c r="AZ651" s="49"/>
      <c r="BA651" s="49"/>
      <c r="BB651" s="49"/>
      <c r="BC651" s="49"/>
      <c r="BD651" s="49"/>
      <c r="BE651" s="49"/>
      <c r="BF651" s="49"/>
    </row>
    <row r="652" spans="1:58" ht="20.100000000000001" hidden="1" customHeight="1" x14ac:dyDescent="0.25">
      <c r="A652" s="271"/>
      <c r="B652" s="272"/>
      <c r="C652" s="107"/>
      <c r="D652" s="273"/>
      <c r="E652" s="273"/>
      <c r="F652" s="154"/>
      <c r="G652" s="154"/>
      <c r="H652" s="154"/>
      <c r="I652" s="155"/>
      <c r="J652" s="154"/>
      <c r="K652" s="155"/>
      <c r="L652" s="155"/>
      <c r="M652" s="155"/>
      <c r="N652" s="155"/>
      <c r="O652" s="155"/>
      <c r="P652" s="155"/>
      <c r="Q652" s="646" t="s">
        <v>155</v>
      </c>
      <c r="R652" s="646"/>
      <c r="S652" s="646"/>
      <c r="T652" s="646"/>
      <c r="U652" s="646"/>
      <c r="V652" s="161">
        <v>2</v>
      </c>
      <c r="W652" s="161">
        <f>7+1</f>
        <v>8</v>
      </c>
      <c r="X652" s="161"/>
      <c r="Y652" s="161"/>
      <c r="Z652" s="157"/>
      <c r="AA652" s="157"/>
      <c r="AB652" s="157"/>
      <c r="AC652" s="157"/>
      <c r="AD652" s="158"/>
      <c r="AE652" s="157"/>
      <c r="AF652" s="157"/>
      <c r="AG652" s="157"/>
      <c r="AH652" s="157"/>
      <c r="AI652" s="157"/>
      <c r="AJ652" s="157"/>
      <c r="AK652" s="157"/>
      <c r="AL652" s="157"/>
      <c r="AM652" s="157"/>
      <c r="AN652" s="439"/>
      <c r="AO652" s="439"/>
      <c r="AP652" s="439"/>
      <c r="AQ652" s="440"/>
      <c r="AR652" s="439"/>
      <c r="AS652" s="440"/>
      <c r="AT652" s="157"/>
      <c r="AU652" s="49"/>
      <c r="AV652" s="49"/>
      <c r="AW652" s="49"/>
      <c r="AX652" s="49"/>
      <c r="AY652" s="49"/>
      <c r="AZ652" s="49"/>
      <c r="BA652" s="49"/>
      <c r="BB652" s="49"/>
      <c r="BC652" s="49"/>
      <c r="BD652" s="49"/>
      <c r="BE652" s="49"/>
      <c r="BF652" s="49"/>
    </row>
    <row r="653" spans="1:58" ht="20.100000000000001" hidden="1" customHeight="1" x14ac:dyDescent="0.25">
      <c r="A653" s="271"/>
      <c r="B653" s="272"/>
      <c r="C653" s="107"/>
      <c r="D653" s="273"/>
      <c r="E653" s="273"/>
      <c r="F653" s="154"/>
      <c r="G653" s="154"/>
      <c r="H653" s="154"/>
      <c r="I653" s="155"/>
      <c r="J653" s="154"/>
      <c r="K653" s="155"/>
      <c r="L653" s="155"/>
      <c r="M653" s="155"/>
      <c r="N653" s="155"/>
      <c r="O653" s="155"/>
      <c r="P653" s="155"/>
      <c r="Q653" s="646" t="s">
        <v>156</v>
      </c>
      <c r="R653" s="646"/>
      <c r="S653" s="646"/>
      <c r="T653" s="646"/>
      <c r="U653" s="646"/>
      <c r="V653" s="161">
        <v>2</v>
      </c>
      <c r="W653" s="161">
        <v>0</v>
      </c>
      <c r="X653" s="161"/>
      <c r="Y653" s="161"/>
      <c r="Z653" s="157"/>
      <c r="AA653" s="157"/>
      <c r="AB653" s="157"/>
      <c r="AC653" s="157"/>
      <c r="AD653" s="158"/>
      <c r="AE653" s="157"/>
      <c r="AF653" s="157"/>
      <c r="AG653" s="157"/>
      <c r="AH653" s="157"/>
      <c r="AI653" s="157"/>
      <c r="AJ653" s="157"/>
      <c r="AK653" s="157"/>
      <c r="AL653" s="157"/>
      <c r="AM653" s="157"/>
      <c r="AN653" s="439"/>
      <c r="AO653" s="439"/>
      <c r="AP653" s="439"/>
      <c r="AQ653" s="440"/>
      <c r="AR653" s="439"/>
      <c r="AS653" s="440"/>
      <c r="AT653" s="157"/>
      <c r="AU653" s="49"/>
      <c r="AV653" s="49"/>
      <c r="AW653" s="49"/>
      <c r="AX653" s="49"/>
      <c r="AY653" s="49"/>
      <c r="AZ653" s="49"/>
      <c r="BA653" s="49"/>
      <c r="BB653" s="49"/>
      <c r="BC653" s="49"/>
      <c r="BD653" s="49"/>
      <c r="BE653" s="49"/>
      <c r="BF653" s="49"/>
    </row>
    <row r="654" spans="1:58" ht="20.100000000000001" hidden="1" customHeight="1" x14ac:dyDescent="0.25">
      <c r="A654" s="271"/>
      <c r="B654" s="272"/>
      <c r="C654" s="107"/>
      <c r="D654" s="273"/>
      <c r="E654" s="273"/>
      <c r="F654" s="154"/>
      <c r="G654" s="154"/>
      <c r="H654" s="154"/>
      <c r="I654" s="155"/>
      <c r="J654" s="154"/>
      <c r="K654" s="155"/>
      <c r="L654" s="155"/>
      <c r="M654" s="155"/>
      <c r="N654" s="155"/>
      <c r="O654" s="155"/>
      <c r="P654" s="155"/>
      <c r="Q654" s="646" t="s">
        <v>157</v>
      </c>
      <c r="R654" s="646"/>
      <c r="S654" s="646"/>
      <c r="T654" s="646"/>
      <c r="U654" s="647"/>
      <c r="V654" s="161">
        <f>+V651-V652</f>
        <v>0</v>
      </c>
      <c r="W654" s="161">
        <f>+W651-W652</f>
        <v>0</v>
      </c>
      <c r="X654" s="161">
        <f>+X651-X652</f>
        <v>2</v>
      </c>
      <c r="Y654" s="161">
        <f>+Y651-Y652</f>
        <v>7</v>
      </c>
      <c r="Z654" s="157"/>
      <c r="AA654" s="157"/>
      <c r="AB654" s="157"/>
      <c r="AC654" s="157"/>
      <c r="AD654" s="158"/>
      <c r="AE654" s="157"/>
      <c r="AF654" s="157"/>
      <c r="AG654" s="157"/>
      <c r="AH654" s="157"/>
      <c r="AI654" s="157"/>
      <c r="AJ654" s="157"/>
      <c r="AK654" s="157"/>
      <c r="AL654" s="157"/>
      <c r="AM654" s="157"/>
      <c r="AN654" s="439"/>
      <c r="AO654" s="439"/>
      <c r="AP654" s="439"/>
      <c r="AQ654" s="440"/>
      <c r="AR654" s="439"/>
      <c r="AS654" s="440"/>
      <c r="AT654" s="157"/>
      <c r="AU654" s="49"/>
      <c r="AV654" s="49"/>
      <c r="AW654" s="49"/>
      <c r="AX654" s="49"/>
      <c r="AY654" s="49"/>
      <c r="AZ654" s="49"/>
      <c r="BA654" s="49"/>
      <c r="BB654" s="49"/>
      <c r="BC654" s="49" t="s">
        <v>1007</v>
      </c>
      <c r="BD654" s="49"/>
      <c r="BE654" s="49"/>
      <c r="BF654" s="49"/>
    </row>
    <row r="655" spans="1:58" ht="20.100000000000001" hidden="1" customHeight="1" x14ac:dyDescent="0.25">
      <c r="A655" s="271"/>
      <c r="B655" s="272"/>
      <c r="C655" s="107"/>
      <c r="D655" s="273"/>
      <c r="E655" s="273"/>
      <c r="F655" s="154"/>
      <c r="G655" s="154"/>
      <c r="H655" s="154"/>
      <c r="I655" s="155"/>
      <c r="J655" s="154"/>
      <c r="K655" s="155"/>
      <c r="L655" s="155"/>
      <c r="M655" s="155"/>
      <c r="N655" s="155"/>
      <c r="O655" s="155"/>
      <c r="P655" s="155"/>
      <c r="Q655" s="646" t="s">
        <v>158</v>
      </c>
      <c r="R655" s="646"/>
      <c r="S655" s="646"/>
      <c r="T655" s="646"/>
      <c r="U655" s="646"/>
      <c r="V655" s="156">
        <f>+V651</f>
        <v>2</v>
      </c>
      <c r="W655" s="156">
        <f>+W651</f>
        <v>8</v>
      </c>
      <c r="X655" s="156">
        <f>+X651</f>
        <v>2</v>
      </c>
      <c r="Y655" s="156">
        <f>+Y651</f>
        <v>7</v>
      </c>
      <c r="Z655" s="157"/>
      <c r="AA655" s="157"/>
      <c r="AB655" s="157"/>
      <c r="AC655" s="157"/>
      <c r="AD655" s="158"/>
      <c r="AE655" s="157"/>
      <c r="AF655" s="157"/>
      <c r="AG655" s="157"/>
      <c r="AH655" s="157"/>
      <c r="AI655" s="157"/>
      <c r="AJ655" s="157"/>
      <c r="AK655" s="157"/>
      <c r="AL655" s="157"/>
      <c r="AM655" s="157"/>
      <c r="AN655" s="439"/>
      <c r="AO655" s="439"/>
      <c r="AP655" s="439"/>
      <c r="AQ655" s="440"/>
      <c r="AR655" s="439"/>
      <c r="AS655" s="440"/>
      <c r="AT655" s="157"/>
      <c r="AU655" s="49"/>
      <c r="AV655" s="49"/>
      <c r="AW655" s="49"/>
      <c r="AX655" s="49"/>
      <c r="AY655" s="49"/>
      <c r="AZ655" s="49"/>
      <c r="BA655" s="49"/>
      <c r="BB655" s="49"/>
      <c r="BC655" s="49"/>
      <c r="BD655" s="49"/>
      <c r="BE655" s="49"/>
      <c r="BF655" s="49"/>
    </row>
    <row r="656" spans="1:58" ht="20.100000000000001" hidden="1" customHeight="1" x14ac:dyDescent="0.25">
      <c r="A656" s="271"/>
      <c r="B656" s="272"/>
      <c r="C656" s="107"/>
      <c r="D656" s="273"/>
      <c r="E656" s="273"/>
      <c r="F656" s="154"/>
      <c r="G656" s="154"/>
      <c r="H656" s="154"/>
      <c r="I656" s="155"/>
      <c r="J656" s="154"/>
      <c r="K656" s="155"/>
      <c r="L656" s="155"/>
      <c r="M656" s="155"/>
      <c r="N656" s="155"/>
      <c r="O656" s="155"/>
      <c r="P656" s="155"/>
      <c r="Q656" s="646" t="s">
        <v>159</v>
      </c>
      <c r="R656" s="646"/>
      <c r="S656" s="646"/>
      <c r="T656" s="646"/>
      <c r="U656" s="646"/>
      <c r="V656" s="161">
        <v>2</v>
      </c>
      <c r="W656" s="161">
        <v>5</v>
      </c>
      <c r="X656" s="161"/>
      <c r="Y656" s="161"/>
      <c r="Z656" s="157"/>
      <c r="AA656" s="157"/>
      <c r="AB656" s="157"/>
      <c r="AC656" s="157"/>
      <c r="AD656" s="158"/>
      <c r="AE656" s="157"/>
      <c r="AF656" s="157"/>
      <c r="AG656" s="157"/>
      <c r="AH656" s="157"/>
      <c r="AI656" s="157"/>
      <c r="AJ656" s="157"/>
      <c r="AK656" s="157"/>
      <c r="AL656" s="157"/>
      <c r="AM656" s="157"/>
      <c r="AN656" s="157"/>
      <c r="AO656" s="157"/>
      <c r="AP656" s="157"/>
      <c r="AQ656" s="157"/>
      <c r="AR656" s="157"/>
      <c r="AS656" s="157"/>
      <c r="AT656" s="157"/>
      <c r="AU656" s="49"/>
      <c r="AV656" s="49"/>
      <c r="AW656" s="49"/>
      <c r="AX656" s="49"/>
      <c r="AY656" s="49"/>
      <c r="AZ656" s="49"/>
      <c r="BA656" s="49"/>
      <c r="BB656" s="49"/>
      <c r="BC656" s="49"/>
      <c r="BD656" s="49"/>
      <c r="BE656" s="49"/>
      <c r="BF656" s="49"/>
    </row>
    <row r="657" spans="1:58" ht="15" hidden="1" customHeight="1" x14ac:dyDescent="0.25">
      <c r="A657" s="79"/>
      <c r="B657" s="80"/>
      <c r="C657" s="88"/>
      <c r="D657" s="82"/>
      <c r="E657" s="82"/>
      <c r="F657" s="46"/>
      <c r="G657" s="46"/>
      <c r="H657" s="46"/>
      <c r="I657" s="46"/>
      <c r="J657" s="83"/>
      <c r="K657" s="46"/>
      <c r="L657" s="46"/>
      <c r="M657" s="46"/>
      <c r="N657" s="46"/>
      <c r="O657" s="46"/>
      <c r="P657" s="46"/>
      <c r="Q657" s="46"/>
      <c r="R657" s="46"/>
      <c r="S657" s="46"/>
      <c r="T657" s="46"/>
      <c r="U657" s="46"/>
      <c r="V657" s="73"/>
      <c r="W657" s="73"/>
      <c r="X657" s="73"/>
      <c r="Y657" s="73"/>
      <c r="Z657" s="46"/>
      <c r="AA657" s="46"/>
      <c r="AB657" s="46"/>
      <c r="AC657" s="46"/>
      <c r="AD657" s="47"/>
      <c r="AE657" s="48"/>
      <c r="AF657" s="48"/>
      <c r="AG657" s="48"/>
      <c r="AH657" s="48"/>
      <c r="AI657" s="48"/>
      <c r="AJ657" s="48"/>
      <c r="AK657" s="48"/>
      <c r="AL657" s="48"/>
      <c r="AM657" s="48"/>
      <c r="AN657" s="49"/>
      <c r="AO657" s="49"/>
      <c r="AP657" s="49"/>
      <c r="AQ657" s="49"/>
      <c r="AR657" s="49"/>
      <c r="AS657" s="49"/>
      <c r="AT657" s="49"/>
      <c r="AU657" s="49"/>
      <c r="AV657" s="49"/>
      <c r="AW657" s="49"/>
      <c r="AX657" s="49"/>
      <c r="AY657" s="49"/>
      <c r="AZ657" s="49"/>
      <c r="BA657" s="49"/>
      <c r="BB657" s="49"/>
      <c r="BC657" s="49"/>
      <c r="BD657" s="49"/>
      <c r="BE657" s="49"/>
      <c r="BF657" s="49"/>
    </row>
    <row r="658" spans="1:58" ht="20.100000000000001" hidden="1" customHeight="1" x14ac:dyDescent="0.25">
      <c r="A658" s="79"/>
      <c r="B658" s="80"/>
      <c r="C658" s="85"/>
      <c r="D658" s="109" t="s">
        <v>103</v>
      </c>
      <c r="E658" s="82"/>
      <c r="F658" s="46"/>
      <c r="G658" s="46"/>
      <c r="H658" s="46"/>
      <c r="I658" s="46"/>
      <c r="J658" s="83"/>
      <c r="K658" s="46"/>
      <c r="L658" s="46"/>
      <c r="M658" s="46"/>
      <c r="N658" s="46"/>
      <c r="O658" s="46"/>
      <c r="P658" s="46"/>
      <c r="Q658" s="46"/>
      <c r="R658" s="46"/>
      <c r="S658" s="46"/>
      <c r="T658" s="46"/>
      <c r="U658" s="46"/>
      <c r="V658" s="42"/>
      <c r="W658" s="46"/>
      <c r="X658" s="46"/>
      <c r="Y658" s="46"/>
      <c r="Z658" s="46"/>
      <c r="AA658" s="46"/>
      <c r="AB658" s="46"/>
      <c r="AC658" s="46"/>
      <c r="AD658" s="47"/>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9"/>
    </row>
    <row r="659" spans="1:58" ht="18.75" customHeight="1" x14ac:dyDescent="0.25">
      <c r="A659" s="79"/>
      <c r="B659" s="80"/>
      <c r="C659" s="85"/>
      <c r="D659" s="745" t="s">
        <v>43</v>
      </c>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c r="AA659" s="745"/>
      <c r="AB659" s="745"/>
      <c r="AC659" s="745"/>
      <c r="AD659" s="745"/>
      <c r="AE659" s="745"/>
      <c r="AF659" s="745"/>
      <c r="AG659" s="745"/>
      <c r="AH659" s="745"/>
      <c r="AI659" s="745"/>
      <c r="AJ659" s="745"/>
      <c r="AK659" s="745"/>
      <c r="AL659" s="745"/>
      <c r="AM659" s="745"/>
      <c r="AN659" s="745"/>
      <c r="AO659" s="745"/>
      <c r="AP659" s="745"/>
      <c r="AQ659" s="745"/>
      <c r="AR659" s="745"/>
      <c r="AS659" s="745"/>
      <c r="AT659" s="561" t="s">
        <v>104</v>
      </c>
      <c r="AU659" s="563"/>
      <c r="AV659" s="563"/>
      <c r="AW659" s="563"/>
      <c r="AX659" s="563"/>
      <c r="AY659" s="563"/>
      <c r="AZ659" s="563"/>
      <c r="BA659" s="563"/>
      <c r="BB659" s="562"/>
      <c r="BC659" s="561" t="s">
        <v>105</v>
      </c>
      <c r="BD659" s="562"/>
      <c r="BE659" s="48"/>
      <c r="BF659" s="49"/>
    </row>
    <row r="660" spans="1:58" ht="15" customHeight="1" x14ac:dyDescent="0.25">
      <c r="A660" s="79"/>
      <c r="B660" s="80"/>
      <c r="C660" s="85"/>
      <c r="D660" s="691" t="s">
        <v>106</v>
      </c>
      <c r="E660" s="691" t="s">
        <v>107</v>
      </c>
      <c r="F660" s="711" t="s">
        <v>108</v>
      </c>
      <c r="G660" s="691" t="s">
        <v>109</v>
      </c>
      <c r="H660" s="711" t="s">
        <v>110</v>
      </c>
      <c r="I660" s="691" t="s">
        <v>51</v>
      </c>
      <c r="J660" s="712" t="s">
        <v>111</v>
      </c>
      <c r="K660" s="691" t="s">
        <v>52</v>
      </c>
      <c r="L660" s="691"/>
      <c r="M660" s="691"/>
      <c r="N660" s="691" t="s">
        <v>53</v>
      </c>
      <c r="O660" s="691" t="s">
        <v>54</v>
      </c>
      <c r="P660" s="703" t="s">
        <v>55</v>
      </c>
      <c r="Q660" s="703" t="s">
        <v>56</v>
      </c>
      <c r="R660" s="703" t="s">
        <v>57</v>
      </c>
      <c r="S660" s="703" t="s">
        <v>58</v>
      </c>
      <c r="T660" s="703" t="s">
        <v>59</v>
      </c>
      <c r="U660" s="691" t="s">
        <v>60</v>
      </c>
      <c r="V660" s="691"/>
      <c r="W660" s="691"/>
      <c r="X660" s="691"/>
      <c r="Y660" s="691"/>
      <c r="Z660" s="704" t="s">
        <v>61</v>
      </c>
      <c r="AA660" s="705"/>
      <c r="AB660" s="705"/>
      <c r="AC660" s="706"/>
      <c r="AD660" s="707" t="s">
        <v>62</v>
      </c>
      <c r="AE660" s="708"/>
      <c r="AF660" s="709"/>
      <c r="AG660" s="695" t="s">
        <v>63</v>
      </c>
      <c r="AH660" s="695" t="s">
        <v>64</v>
      </c>
      <c r="AI660" s="695" t="s">
        <v>65</v>
      </c>
      <c r="AJ660" s="697" t="s">
        <v>66</v>
      </c>
      <c r="AK660" s="697"/>
      <c r="AL660" s="697"/>
      <c r="AM660" s="697"/>
      <c r="AN660" s="699"/>
      <c r="AO660" s="699"/>
      <c r="AP660" s="699"/>
      <c r="AQ660" s="699"/>
      <c r="AR660" s="699"/>
      <c r="AS660" s="700"/>
      <c r="AT660" s="558" t="s">
        <v>60</v>
      </c>
      <c r="AU660" s="569" t="s">
        <v>112</v>
      </c>
      <c r="AV660" s="570"/>
      <c r="AW660" s="570"/>
      <c r="AX660" s="571"/>
      <c r="AY660" s="569" t="s">
        <v>113</v>
      </c>
      <c r="AZ660" s="570"/>
      <c r="BA660" s="570"/>
      <c r="BB660" s="571"/>
      <c r="BC660" s="584" t="s">
        <v>114</v>
      </c>
      <c r="BD660" s="587" t="s">
        <v>102</v>
      </c>
      <c r="BE660" s="48"/>
      <c r="BF660" s="49"/>
    </row>
    <row r="661" spans="1:58" ht="15" customHeight="1" x14ac:dyDescent="0.25">
      <c r="A661" s="79"/>
      <c r="B661" s="80"/>
      <c r="C661" s="85"/>
      <c r="D661" s="691"/>
      <c r="E661" s="691"/>
      <c r="F661" s="711"/>
      <c r="G661" s="691"/>
      <c r="H661" s="711"/>
      <c r="I661" s="691"/>
      <c r="J661" s="712"/>
      <c r="K661" s="691"/>
      <c r="L661" s="691"/>
      <c r="M661" s="691"/>
      <c r="N661" s="691"/>
      <c r="O661" s="691"/>
      <c r="P661" s="703"/>
      <c r="Q661" s="703"/>
      <c r="R661" s="703"/>
      <c r="S661" s="703"/>
      <c r="T661" s="703"/>
      <c r="U661" s="691" t="s">
        <v>67</v>
      </c>
      <c r="V661" s="691"/>
      <c r="W661" s="691"/>
      <c r="X661" s="691"/>
      <c r="Y661" s="691"/>
      <c r="Z661" s="692" t="s">
        <v>67</v>
      </c>
      <c r="AA661" s="693"/>
      <c r="AB661" s="693"/>
      <c r="AC661" s="694"/>
      <c r="AD661" s="695" t="s">
        <v>68</v>
      </c>
      <c r="AE661" s="695" t="s">
        <v>69</v>
      </c>
      <c r="AF661" s="695" t="s">
        <v>70</v>
      </c>
      <c r="AG661" s="696"/>
      <c r="AH661" s="696"/>
      <c r="AI661" s="696"/>
      <c r="AJ661" s="698"/>
      <c r="AK661" s="698"/>
      <c r="AL661" s="698"/>
      <c r="AM661" s="698"/>
      <c r="AN661" s="701"/>
      <c r="AO661" s="701"/>
      <c r="AP661" s="701"/>
      <c r="AQ661" s="701"/>
      <c r="AR661" s="701"/>
      <c r="AS661" s="702"/>
      <c r="AT661" s="559"/>
      <c r="AU661" s="572"/>
      <c r="AV661" s="573"/>
      <c r="AW661" s="573"/>
      <c r="AX661" s="574"/>
      <c r="AY661" s="572"/>
      <c r="AZ661" s="573"/>
      <c r="BA661" s="573"/>
      <c r="BB661" s="574"/>
      <c r="BC661" s="585"/>
      <c r="BD661" s="588"/>
      <c r="BE661" s="48"/>
      <c r="BF661" s="49"/>
    </row>
    <row r="662" spans="1:58" s="95" customFormat="1" ht="24" customHeight="1" thickBot="1" x14ac:dyDescent="0.3">
      <c r="A662" s="86"/>
      <c r="B662" s="87"/>
      <c r="C662" s="88"/>
      <c r="D662" s="691"/>
      <c r="E662" s="691"/>
      <c r="F662" s="711"/>
      <c r="G662" s="691"/>
      <c r="H662" s="711"/>
      <c r="I662" s="691"/>
      <c r="J662" s="712"/>
      <c r="K662" s="89" t="s">
        <v>71</v>
      </c>
      <c r="L662" s="89" t="s">
        <v>115</v>
      </c>
      <c r="M662" s="89" t="s">
        <v>72</v>
      </c>
      <c r="N662" s="691"/>
      <c r="O662" s="691"/>
      <c r="P662" s="703"/>
      <c r="Q662" s="703"/>
      <c r="R662" s="703"/>
      <c r="S662" s="703"/>
      <c r="T662" s="703"/>
      <c r="U662" s="90" t="s">
        <v>73</v>
      </c>
      <c r="V662" s="89">
        <v>1</v>
      </c>
      <c r="W662" s="91">
        <v>2</v>
      </c>
      <c r="X662" s="91">
        <v>3</v>
      </c>
      <c r="Y662" s="91">
        <v>4</v>
      </c>
      <c r="Z662" s="162">
        <v>1</v>
      </c>
      <c r="AA662" s="110">
        <v>2</v>
      </c>
      <c r="AB662" s="110">
        <v>3</v>
      </c>
      <c r="AC662" s="110">
        <v>4</v>
      </c>
      <c r="AD662" s="696"/>
      <c r="AE662" s="696"/>
      <c r="AF662" s="696"/>
      <c r="AG662" s="696"/>
      <c r="AH662" s="696"/>
      <c r="AI662" s="697"/>
      <c r="AJ662" s="342" t="s">
        <v>74</v>
      </c>
      <c r="AK662" s="343" t="s">
        <v>75</v>
      </c>
      <c r="AL662" s="343" t="s">
        <v>76</v>
      </c>
      <c r="AM662" s="343" t="s">
        <v>77</v>
      </c>
      <c r="AN662" s="92" t="s">
        <v>78</v>
      </c>
      <c r="AO662" s="92" t="s">
        <v>79</v>
      </c>
      <c r="AP662" s="92" t="s">
        <v>80</v>
      </c>
      <c r="AQ662" s="92" t="s">
        <v>81</v>
      </c>
      <c r="AR662" s="93" t="s">
        <v>82</v>
      </c>
      <c r="AS662" s="93" t="s">
        <v>83</v>
      </c>
      <c r="AT662" s="560"/>
      <c r="AU662" s="111" t="s">
        <v>116</v>
      </c>
      <c r="AV662" s="111" t="s">
        <v>117</v>
      </c>
      <c r="AW662" s="111" t="s">
        <v>118</v>
      </c>
      <c r="AX662" s="111" t="s">
        <v>119</v>
      </c>
      <c r="AY662" s="111" t="s">
        <v>116</v>
      </c>
      <c r="AZ662" s="111" t="s">
        <v>117</v>
      </c>
      <c r="BA662" s="111" t="s">
        <v>118</v>
      </c>
      <c r="BB662" s="111" t="s">
        <v>119</v>
      </c>
      <c r="BC662" s="618"/>
      <c r="BD662" s="589"/>
      <c r="BE662" s="48"/>
      <c r="BF662" s="49"/>
    </row>
    <row r="663" spans="1:58" s="168" customFormat="1" ht="57" customHeight="1" x14ac:dyDescent="0.25">
      <c r="A663" s="731"/>
      <c r="B663" s="664"/>
      <c r="C663" s="665">
        <v>1</v>
      </c>
      <c r="D663" s="740" t="s">
        <v>43</v>
      </c>
      <c r="E663" s="743" t="s">
        <v>1049</v>
      </c>
      <c r="F663" s="744">
        <v>1</v>
      </c>
      <c r="G663" s="736" t="s">
        <v>1050</v>
      </c>
      <c r="H663" s="732">
        <v>0.5</v>
      </c>
      <c r="I663" s="739" t="s">
        <v>1051</v>
      </c>
      <c r="J663" s="719">
        <v>1</v>
      </c>
      <c r="K663" s="733" t="s">
        <v>1052</v>
      </c>
      <c r="L663" s="733" t="s">
        <v>1053</v>
      </c>
      <c r="M663" s="722" t="s">
        <v>1054</v>
      </c>
      <c r="N663" s="722" t="s">
        <v>1055</v>
      </c>
      <c r="O663" s="722" t="s">
        <v>89</v>
      </c>
      <c r="P663" s="719">
        <v>0.2</v>
      </c>
      <c r="Q663" s="719">
        <v>0.4</v>
      </c>
      <c r="R663" s="719">
        <v>0.5</v>
      </c>
      <c r="S663" s="719">
        <v>0.1</v>
      </c>
      <c r="T663" s="658" t="s">
        <v>151</v>
      </c>
      <c r="U663" s="164" t="s">
        <v>1056</v>
      </c>
      <c r="V663" s="287"/>
      <c r="W663" s="287"/>
      <c r="X663" s="287"/>
      <c r="Y663" s="287"/>
      <c r="Z663" s="322"/>
      <c r="AA663" s="322"/>
      <c r="AB663" s="322"/>
      <c r="AC663" s="322"/>
      <c r="AD663" s="720">
        <f>+AE663+AF663+AG663</f>
        <v>647142838</v>
      </c>
      <c r="AE663" s="721">
        <v>647142838</v>
      </c>
      <c r="AF663" s="721">
        <v>0</v>
      </c>
      <c r="AG663" s="721">
        <v>0</v>
      </c>
      <c r="AH663" s="713" t="s">
        <v>665</v>
      </c>
      <c r="AI663" s="734" t="s">
        <v>665</v>
      </c>
      <c r="AJ663" s="734" t="s">
        <v>94</v>
      </c>
      <c r="AK663" s="734"/>
      <c r="AL663" s="734"/>
      <c r="AM663" s="734"/>
      <c r="AN663" s="734" t="s">
        <v>94</v>
      </c>
      <c r="AO663" s="734"/>
      <c r="AP663" s="734"/>
      <c r="AQ663" s="734" t="s">
        <v>94</v>
      </c>
      <c r="AR663" s="735"/>
      <c r="AS663" s="735"/>
      <c r="AT663" s="190" t="s">
        <v>129</v>
      </c>
      <c r="AU663" s="203">
        <f t="shared" ref="AU663:BB663" si="511">+V665*$J$663</f>
        <v>0</v>
      </c>
      <c r="AV663" s="203">
        <f t="shared" si="511"/>
        <v>0</v>
      </c>
      <c r="AW663" s="203">
        <f t="shared" si="511"/>
        <v>0</v>
      </c>
      <c r="AX663" s="203">
        <f t="shared" si="511"/>
        <v>0</v>
      </c>
      <c r="AY663" s="203">
        <f t="shared" si="511"/>
        <v>0</v>
      </c>
      <c r="AZ663" s="203">
        <f t="shared" si="511"/>
        <v>0</v>
      </c>
      <c r="BA663" s="203">
        <f t="shared" si="511"/>
        <v>0</v>
      </c>
      <c r="BB663" s="203">
        <f t="shared" si="511"/>
        <v>0</v>
      </c>
      <c r="BC663" s="725">
        <f>+BB665</f>
        <v>0</v>
      </c>
      <c r="BD663" s="728">
        <f>+BC663</f>
        <v>0</v>
      </c>
      <c r="BE663" s="246"/>
      <c r="BF663" s="291"/>
    </row>
    <row r="664" spans="1:58" s="168" customFormat="1" ht="57" customHeight="1" thickBot="1" x14ac:dyDescent="0.3">
      <c r="A664" s="731"/>
      <c r="B664" s="664"/>
      <c r="C664" s="665"/>
      <c r="D664" s="741"/>
      <c r="E664" s="743"/>
      <c r="F664" s="744"/>
      <c r="G664" s="737"/>
      <c r="H664" s="732"/>
      <c r="I664" s="739"/>
      <c r="J664" s="719"/>
      <c r="K664" s="733"/>
      <c r="L664" s="733"/>
      <c r="M664" s="723"/>
      <c r="N664" s="723"/>
      <c r="O664" s="723"/>
      <c r="P664" s="719"/>
      <c r="Q664" s="719"/>
      <c r="R664" s="719"/>
      <c r="S664" s="719"/>
      <c r="T664" s="659"/>
      <c r="U664" s="176" t="s">
        <v>1057</v>
      </c>
      <c r="V664" s="400">
        <v>0.25</v>
      </c>
      <c r="W664" s="400">
        <v>0.25</v>
      </c>
      <c r="X664" s="400">
        <v>0.25</v>
      </c>
      <c r="Y664" s="400">
        <v>0.25</v>
      </c>
      <c r="Z664" s="400">
        <v>0.25</v>
      </c>
      <c r="AA664" s="400">
        <v>0.5</v>
      </c>
      <c r="AB664" s="400">
        <v>0.75</v>
      </c>
      <c r="AC664" s="400">
        <v>1</v>
      </c>
      <c r="AD664" s="720"/>
      <c r="AE664" s="721"/>
      <c r="AF664" s="721"/>
      <c r="AG664" s="721"/>
      <c r="AH664" s="714"/>
      <c r="AI664" s="734"/>
      <c r="AJ664" s="734"/>
      <c r="AK664" s="734"/>
      <c r="AL664" s="734"/>
      <c r="AM664" s="734"/>
      <c r="AN664" s="734"/>
      <c r="AO664" s="734"/>
      <c r="AP664" s="734"/>
      <c r="AQ664" s="734"/>
      <c r="AR664" s="735"/>
      <c r="AS664" s="735"/>
      <c r="AT664" s="190" t="s">
        <v>131</v>
      </c>
      <c r="AU664" s="203">
        <f>+AU663*$H$663</f>
        <v>0</v>
      </c>
      <c r="AV664" s="203">
        <f t="shared" ref="AV664:BB664" si="512">+AV663*$H$663</f>
        <v>0</v>
      </c>
      <c r="AW664" s="203">
        <f t="shared" si="512"/>
        <v>0</v>
      </c>
      <c r="AX664" s="203">
        <f t="shared" si="512"/>
        <v>0</v>
      </c>
      <c r="AY664" s="203">
        <f t="shared" si="512"/>
        <v>0</v>
      </c>
      <c r="AZ664" s="203">
        <f t="shared" si="512"/>
        <v>0</v>
      </c>
      <c r="BA664" s="203">
        <f t="shared" si="512"/>
        <v>0</v>
      </c>
      <c r="BB664" s="203">
        <f t="shared" si="512"/>
        <v>0</v>
      </c>
      <c r="BC664" s="726"/>
      <c r="BD664" s="729"/>
      <c r="BE664" s="246"/>
      <c r="BF664" s="291"/>
    </row>
    <row r="665" spans="1:58" s="168" customFormat="1" ht="24.75" thickBot="1" x14ac:dyDescent="0.3">
      <c r="A665" s="731"/>
      <c r="B665" s="664"/>
      <c r="C665" s="665"/>
      <c r="D665" s="741"/>
      <c r="E665" s="743"/>
      <c r="F665" s="744"/>
      <c r="G665" s="737"/>
      <c r="H665" s="732"/>
      <c r="I665" s="739"/>
      <c r="J665" s="719"/>
      <c r="K665" s="733"/>
      <c r="L665" s="733"/>
      <c r="M665" s="724"/>
      <c r="N665" s="724"/>
      <c r="O665" s="724"/>
      <c r="P665" s="719"/>
      <c r="Q665" s="719"/>
      <c r="R665" s="719"/>
      <c r="S665" s="719"/>
      <c r="T665" s="660"/>
      <c r="U665" s="172" t="s">
        <v>96</v>
      </c>
      <c r="V665" s="441">
        <f t="shared" ref="V665:AC665" si="513">IF((V663/V664)&lt;$I$8,(V663/V664),IF((V663/V664)&lt;$J$8,(V663/V664),IF((V663/V664)&lt;$J$9,(V663/V664),IF((V663/V664)&gt;=$J$9,$J$9))))</f>
        <v>0</v>
      </c>
      <c r="W665" s="441">
        <f t="shared" si="513"/>
        <v>0</v>
      </c>
      <c r="X665" s="441">
        <f t="shared" si="513"/>
        <v>0</v>
      </c>
      <c r="Y665" s="441">
        <f t="shared" si="513"/>
        <v>0</v>
      </c>
      <c r="Z665" s="441">
        <f t="shared" si="513"/>
        <v>0</v>
      </c>
      <c r="AA665" s="441">
        <f t="shared" si="513"/>
        <v>0</v>
      </c>
      <c r="AB665" s="441">
        <f t="shared" si="513"/>
        <v>0</v>
      </c>
      <c r="AC665" s="441">
        <f t="shared" si="513"/>
        <v>0</v>
      </c>
      <c r="AD665" s="720"/>
      <c r="AE665" s="721"/>
      <c r="AF665" s="721"/>
      <c r="AG665" s="721"/>
      <c r="AH665" s="715"/>
      <c r="AI665" s="734"/>
      <c r="AJ665" s="734"/>
      <c r="AK665" s="734"/>
      <c r="AL665" s="734"/>
      <c r="AM665" s="734"/>
      <c r="AN665" s="734"/>
      <c r="AO665" s="734"/>
      <c r="AP665" s="734"/>
      <c r="AQ665" s="734"/>
      <c r="AR665" s="735"/>
      <c r="AS665" s="735"/>
      <c r="AT665" s="190" t="s">
        <v>132</v>
      </c>
      <c r="AU665" s="123">
        <f>+(AU664+AU667)*$F$663</f>
        <v>0</v>
      </c>
      <c r="AV665" s="123">
        <f t="shared" ref="AV665:BB665" si="514">+(AV664+AV667)*$F$663</f>
        <v>0</v>
      </c>
      <c r="AW665" s="123">
        <f t="shared" si="514"/>
        <v>0</v>
      </c>
      <c r="AX665" s="123">
        <f t="shared" si="514"/>
        <v>0</v>
      </c>
      <c r="AY665" s="123">
        <f t="shared" si="514"/>
        <v>0</v>
      </c>
      <c r="AZ665" s="123">
        <f t="shared" si="514"/>
        <v>0</v>
      </c>
      <c r="BA665" s="123">
        <f t="shared" si="514"/>
        <v>0</v>
      </c>
      <c r="BB665" s="308">
        <f t="shared" si="514"/>
        <v>0</v>
      </c>
      <c r="BC665" s="726"/>
      <c r="BD665" s="729"/>
      <c r="BE665" s="246"/>
      <c r="BF665" s="291"/>
    </row>
    <row r="666" spans="1:58" s="168" customFormat="1" ht="57" customHeight="1" x14ac:dyDescent="0.25">
      <c r="A666" s="731"/>
      <c r="B666" s="664"/>
      <c r="C666" s="665">
        <v>2</v>
      </c>
      <c r="D666" s="741"/>
      <c r="E666" s="743"/>
      <c r="F666" s="744"/>
      <c r="G666" s="737"/>
      <c r="H666" s="732">
        <v>0.5</v>
      </c>
      <c r="I666" s="733" t="s">
        <v>1058</v>
      </c>
      <c r="J666" s="719">
        <v>1</v>
      </c>
      <c r="K666" s="733" t="s">
        <v>1059</v>
      </c>
      <c r="L666" s="733" t="s">
        <v>1060</v>
      </c>
      <c r="M666" s="722" t="s">
        <v>1054</v>
      </c>
      <c r="N666" s="722" t="s">
        <v>1061</v>
      </c>
      <c r="O666" s="722" t="s">
        <v>89</v>
      </c>
      <c r="P666" s="719">
        <v>0.2</v>
      </c>
      <c r="Q666" s="719">
        <v>1</v>
      </c>
      <c r="R666" s="719">
        <v>1</v>
      </c>
      <c r="S666" s="719">
        <v>1</v>
      </c>
      <c r="T666" s="658" t="s">
        <v>151</v>
      </c>
      <c r="U666" s="164" t="s">
        <v>1056</v>
      </c>
      <c r="V666" s="287"/>
      <c r="W666" s="287"/>
      <c r="X666" s="287"/>
      <c r="Y666" s="287"/>
      <c r="Z666" s="322"/>
      <c r="AA666" s="322"/>
      <c r="AB666" s="322"/>
      <c r="AC666" s="322"/>
      <c r="AD666" s="720">
        <f>+AE666+AF666+AG666</f>
        <v>242811090</v>
      </c>
      <c r="AE666" s="721">
        <v>242811090</v>
      </c>
      <c r="AF666" s="721">
        <v>0</v>
      </c>
      <c r="AG666" s="721">
        <v>0</v>
      </c>
      <c r="AH666" s="713" t="s">
        <v>665</v>
      </c>
      <c r="AI666" s="713" t="s">
        <v>665</v>
      </c>
      <c r="AJ666" s="713" t="s">
        <v>94</v>
      </c>
      <c r="AK666" s="713"/>
      <c r="AL666" s="713"/>
      <c r="AM666" s="713"/>
      <c r="AN666" s="713" t="s">
        <v>94</v>
      </c>
      <c r="AO666" s="442"/>
      <c r="AP666" s="442"/>
      <c r="AQ666" s="713" t="s">
        <v>94</v>
      </c>
      <c r="AR666" s="716"/>
      <c r="AS666" s="716"/>
      <c r="AT666" s="190" t="s">
        <v>129</v>
      </c>
      <c r="AU666" s="203">
        <f t="shared" ref="AU666:BB666" si="515">+V668*$J$666</f>
        <v>0</v>
      </c>
      <c r="AV666" s="203">
        <f t="shared" si="515"/>
        <v>0</v>
      </c>
      <c r="AW666" s="203">
        <f t="shared" si="515"/>
        <v>0</v>
      </c>
      <c r="AX666" s="203">
        <f t="shared" si="515"/>
        <v>0</v>
      </c>
      <c r="AY666" s="203">
        <f t="shared" si="515"/>
        <v>0</v>
      </c>
      <c r="AZ666" s="203">
        <f t="shared" si="515"/>
        <v>0</v>
      </c>
      <c r="BA666" s="203">
        <f t="shared" si="515"/>
        <v>0</v>
      </c>
      <c r="BB666" s="203">
        <f t="shared" si="515"/>
        <v>0</v>
      </c>
      <c r="BC666" s="726"/>
      <c r="BD666" s="729"/>
      <c r="BE666" s="246"/>
      <c r="BF666" s="291"/>
    </row>
    <row r="667" spans="1:58" s="168" customFormat="1" ht="57" customHeight="1" x14ac:dyDescent="0.25">
      <c r="A667" s="731"/>
      <c r="B667" s="664"/>
      <c r="C667" s="665"/>
      <c r="D667" s="741"/>
      <c r="E667" s="743"/>
      <c r="F667" s="744"/>
      <c r="G667" s="737"/>
      <c r="H667" s="732"/>
      <c r="I667" s="733"/>
      <c r="J667" s="719"/>
      <c r="K667" s="733"/>
      <c r="L667" s="733"/>
      <c r="M667" s="723"/>
      <c r="N667" s="723"/>
      <c r="O667" s="723"/>
      <c r="P667" s="719"/>
      <c r="Q667" s="719"/>
      <c r="R667" s="719"/>
      <c r="S667" s="719"/>
      <c r="T667" s="659"/>
      <c r="U667" s="176" t="s">
        <v>1057</v>
      </c>
      <c r="V667" s="400">
        <v>0.25</v>
      </c>
      <c r="W667" s="400">
        <v>0.25</v>
      </c>
      <c r="X667" s="400">
        <v>0.25</v>
      </c>
      <c r="Y667" s="400">
        <v>0.25</v>
      </c>
      <c r="Z667" s="400">
        <v>0.25</v>
      </c>
      <c r="AA667" s="400">
        <v>0.5</v>
      </c>
      <c r="AB667" s="400">
        <v>0.75</v>
      </c>
      <c r="AC667" s="400">
        <v>1</v>
      </c>
      <c r="AD667" s="720"/>
      <c r="AE667" s="721"/>
      <c r="AF667" s="721"/>
      <c r="AG667" s="721"/>
      <c r="AH667" s="714"/>
      <c r="AI667" s="714"/>
      <c r="AJ667" s="714"/>
      <c r="AK667" s="714"/>
      <c r="AL667" s="714"/>
      <c r="AM667" s="714"/>
      <c r="AN667" s="714"/>
      <c r="AO667" s="345"/>
      <c r="AP667" s="345"/>
      <c r="AQ667" s="714"/>
      <c r="AR667" s="717"/>
      <c r="AS667" s="717"/>
      <c r="AT667" s="190" t="s">
        <v>131</v>
      </c>
      <c r="AU667" s="203">
        <f>+AU666*$H$666</f>
        <v>0</v>
      </c>
      <c r="AV667" s="203">
        <f t="shared" ref="AV667:BB667" si="516">+AV666*$H$666</f>
        <v>0</v>
      </c>
      <c r="AW667" s="203">
        <f t="shared" si="516"/>
        <v>0</v>
      </c>
      <c r="AX667" s="203">
        <f t="shared" si="516"/>
        <v>0</v>
      </c>
      <c r="AY667" s="203">
        <f t="shared" si="516"/>
        <v>0</v>
      </c>
      <c r="AZ667" s="203">
        <f t="shared" si="516"/>
        <v>0</v>
      </c>
      <c r="BA667" s="203">
        <f t="shared" si="516"/>
        <v>0</v>
      </c>
      <c r="BB667" s="203">
        <f t="shared" si="516"/>
        <v>0</v>
      </c>
      <c r="BC667" s="726"/>
      <c r="BD667" s="729"/>
      <c r="BE667" s="246"/>
      <c r="BF667" s="291"/>
    </row>
    <row r="668" spans="1:58" s="168" customFormat="1" ht="24.75" thickBot="1" x14ac:dyDescent="0.3">
      <c r="A668" s="731"/>
      <c r="B668" s="664"/>
      <c r="C668" s="665"/>
      <c r="D668" s="742"/>
      <c r="E668" s="743"/>
      <c r="F668" s="744"/>
      <c r="G668" s="738"/>
      <c r="H668" s="732"/>
      <c r="I668" s="733"/>
      <c r="J668" s="719"/>
      <c r="K668" s="733"/>
      <c r="L668" s="733"/>
      <c r="M668" s="724"/>
      <c r="N668" s="724"/>
      <c r="O668" s="724"/>
      <c r="P668" s="719"/>
      <c r="Q668" s="719"/>
      <c r="R668" s="719"/>
      <c r="S668" s="719"/>
      <c r="T668" s="660"/>
      <c r="U668" s="172" t="s">
        <v>96</v>
      </c>
      <c r="V668" s="441">
        <f t="shared" ref="V668:AC668" si="517">IF((V666/V667)&lt;$I$8,(V666/V667),IF((V666/V667)&lt;$J$8,(V666/V667),IF((V666/V667)&lt;$J$9,(V666/V667),IF((V666/V667)&gt;=$J$9,$J$9))))</f>
        <v>0</v>
      </c>
      <c r="W668" s="441">
        <f t="shared" si="517"/>
        <v>0</v>
      </c>
      <c r="X668" s="441">
        <f t="shared" si="517"/>
        <v>0</v>
      </c>
      <c r="Y668" s="441">
        <f t="shared" si="517"/>
        <v>0</v>
      </c>
      <c r="Z668" s="441">
        <f t="shared" si="517"/>
        <v>0</v>
      </c>
      <c r="AA668" s="441">
        <f t="shared" si="517"/>
        <v>0</v>
      </c>
      <c r="AB668" s="441">
        <f t="shared" si="517"/>
        <v>0</v>
      </c>
      <c r="AC668" s="441">
        <f t="shared" si="517"/>
        <v>0</v>
      </c>
      <c r="AD668" s="720"/>
      <c r="AE668" s="721"/>
      <c r="AF668" s="721"/>
      <c r="AG668" s="721"/>
      <c r="AH668" s="715"/>
      <c r="AI668" s="715"/>
      <c r="AJ668" s="715"/>
      <c r="AK668" s="715"/>
      <c r="AL668" s="715"/>
      <c r="AM668" s="715"/>
      <c r="AN668" s="715"/>
      <c r="AO668" s="443"/>
      <c r="AP668" s="443"/>
      <c r="AQ668" s="715"/>
      <c r="AR668" s="718"/>
      <c r="AS668" s="718"/>
      <c r="AT668" s="190" t="s">
        <v>132</v>
      </c>
      <c r="AU668" s="123"/>
      <c r="AV668" s="123"/>
      <c r="AW668" s="123"/>
      <c r="AX668" s="123"/>
      <c r="AY668" s="123"/>
      <c r="AZ668" s="123"/>
      <c r="BA668" s="123"/>
      <c r="BB668" s="123"/>
      <c r="BC668" s="727"/>
      <c r="BD668" s="730"/>
      <c r="BE668" s="246"/>
      <c r="BF668" s="291"/>
    </row>
    <row r="669" spans="1:58" s="159" customFormat="1" ht="24.95" hidden="1" customHeight="1" x14ac:dyDescent="0.25">
      <c r="A669" s="44"/>
      <c r="B669" s="151"/>
      <c r="C669" s="178">
        <f>+C666+C650</f>
        <v>138</v>
      </c>
      <c r="D669" s="144"/>
      <c r="E669" s="67"/>
      <c r="F669" s="154"/>
      <c r="G669" s="154"/>
      <c r="H669" s="154"/>
      <c r="I669" s="155"/>
      <c r="J669" s="154"/>
      <c r="K669" s="155"/>
      <c r="L669" s="155"/>
      <c r="M669" s="155"/>
      <c r="N669" s="155"/>
      <c r="O669" s="155"/>
      <c r="P669" s="154"/>
      <c r="Q669" s="154"/>
      <c r="R669" s="154"/>
      <c r="S669" s="154"/>
      <c r="T669" s="154"/>
      <c r="U669" s="214"/>
      <c r="V669" s="157"/>
      <c r="W669" s="157"/>
      <c r="X669" s="157"/>
      <c r="Y669" s="157"/>
      <c r="Z669" s="157"/>
      <c r="AA669" s="157"/>
      <c r="AB669" s="157"/>
      <c r="AC669" s="157"/>
      <c r="AD669" s="158"/>
      <c r="AE669" s="157"/>
      <c r="AF669" s="157"/>
      <c r="AG669" s="157"/>
      <c r="AH669" s="157"/>
      <c r="AI669" s="157"/>
      <c r="AJ669" s="145">
        <f>COUNTA(AJ663:AJ668)</f>
        <v>2</v>
      </c>
      <c r="AK669" s="145">
        <f t="shared" ref="AK669:AS669" si="518">COUNTA(AK663:AK668)</f>
        <v>0</v>
      </c>
      <c r="AL669" s="145">
        <f t="shared" si="518"/>
        <v>0</v>
      </c>
      <c r="AM669" s="145">
        <f t="shared" si="518"/>
        <v>0</v>
      </c>
      <c r="AN669" s="145">
        <f t="shared" si="518"/>
        <v>2</v>
      </c>
      <c r="AO669" s="145">
        <f t="shared" si="518"/>
        <v>0</v>
      </c>
      <c r="AP669" s="145">
        <f t="shared" si="518"/>
        <v>0</v>
      </c>
      <c r="AQ669" s="145">
        <f t="shared" si="518"/>
        <v>2</v>
      </c>
      <c r="AR669" s="145">
        <f t="shared" si="518"/>
        <v>0</v>
      </c>
      <c r="AS669" s="145">
        <f t="shared" si="518"/>
        <v>0</v>
      </c>
      <c r="AT669" s="157"/>
      <c r="AU669" s="358">
        <f>+AU665</f>
        <v>0</v>
      </c>
      <c r="AV669" s="358">
        <f t="shared" ref="AV669:BB669" si="519">+AV665</f>
        <v>0</v>
      </c>
      <c r="AW669" s="358">
        <f t="shared" si="519"/>
        <v>0</v>
      </c>
      <c r="AX669" s="358">
        <f t="shared" si="519"/>
        <v>0</v>
      </c>
      <c r="AY669" s="358">
        <f t="shared" si="519"/>
        <v>0</v>
      </c>
      <c r="AZ669" s="358">
        <f t="shared" si="519"/>
        <v>0</v>
      </c>
      <c r="BA669" s="358">
        <f t="shared" si="519"/>
        <v>0</v>
      </c>
      <c r="BB669" s="358">
        <f t="shared" si="519"/>
        <v>0</v>
      </c>
      <c r="BC669" s="157"/>
      <c r="BD669" s="157"/>
      <c r="BE669" s="49"/>
      <c r="BF669" s="49"/>
    </row>
    <row r="670" spans="1:58" s="159" customFormat="1" ht="20.100000000000001" hidden="1" customHeight="1" x14ac:dyDescent="0.25">
      <c r="A670" s="444"/>
      <c r="B670" s="445"/>
      <c r="C670" s="433"/>
      <c r="D670" s="273"/>
      <c r="E670" s="273"/>
      <c r="F670" s="154"/>
      <c r="G670" s="154"/>
      <c r="H670" s="154"/>
      <c r="I670" s="155"/>
      <c r="J670" s="154"/>
      <c r="K670" s="155"/>
      <c r="L670" s="155"/>
      <c r="M670" s="155"/>
      <c r="N670" s="155"/>
      <c r="O670" s="155"/>
      <c r="P670" s="155"/>
      <c r="Q670" s="646" t="s">
        <v>154</v>
      </c>
      <c r="R670" s="646"/>
      <c r="S670" s="646"/>
      <c r="T670" s="646"/>
      <c r="U670" s="646"/>
      <c r="V670" s="156">
        <v>2</v>
      </c>
      <c r="W670" s="156">
        <v>2</v>
      </c>
      <c r="X670" s="156">
        <v>2</v>
      </c>
      <c r="Y670" s="156">
        <v>2</v>
      </c>
      <c r="Z670" s="157"/>
      <c r="AA670" s="157"/>
      <c r="AB670" s="157"/>
      <c r="AC670" s="157"/>
      <c r="AD670" s="158"/>
      <c r="AE670" s="157"/>
      <c r="AF670" s="157"/>
      <c r="AG670" s="157"/>
      <c r="AH670" s="157"/>
      <c r="AI670" s="157"/>
      <c r="AJ670" s="157"/>
      <c r="AK670" s="157"/>
      <c r="AL670" s="157"/>
      <c r="AM670" s="157"/>
      <c r="AN670" s="157"/>
      <c r="AO670" s="157"/>
      <c r="AP670" s="157"/>
      <c r="AQ670" s="157"/>
      <c r="AR670" s="157"/>
      <c r="AS670" s="157"/>
      <c r="AT670" s="157"/>
      <c r="AU670" s="157"/>
      <c r="AV670" s="157"/>
      <c r="AW670" s="157"/>
      <c r="AX670" s="157"/>
      <c r="AY670" s="157"/>
      <c r="AZ670" s="157"/>
      <c r="BA670" s="157"/>
      <c r="BB670" s="157"/>
      <c r="BC670" s="446"/>
      <c r="BD670" s="446"/>
      <c r="BE670" s="49"/>
      <c r="BF670" s="49"/>
    </row>
    <row r="671" spans="1:58" ht="20.100000000000001" hidden="1" customHeight="1" x14ac:dyDescent="0.25">
      <c r="A671" s="444"/>
      <c r="B671" s="445"/>
      <c r="C671" s="433"/>
      <c r="D671" s="273"/>
      <c r="E671" s="273"/>
      <c r="F671" s="154"/>
      <c r="G671" s="154"/>
      <c r="H671" s="154"/>
      <c r="I671" s="155"/>
      <c r="J671" s="154"/>
      <c r="K671" s="155"/>
      <c r="L671" s="155"/>
      <c r="M671" s="155"/>
      <c r="N671" s="155"/>
      <c r="O671" s="155"/>
      <c r="P671" s="155"/>
      <c r="Q671" s="646" t="s">
        <v>155</v>
      </c>
      <c r="R671" s="646"/>
      <c r="S671" s="646"/>
      <c r="T671" s="646"/>
      <c r="U671" s="646"/>
      <c r="V671" s="161">
        <v>2</v>
      </c>
      <c r="W671" s="161">
        <v>2</v>
      </c>
      <c r="X671" s="161"/>
      <c r="Y671" s="161"/>
      <c r="Z671" s="157"/>
      <c r="AA671" s="157"/>
      <c r="AB671" s="157"/>
      <c r="AC671" s="157"/>
      <c r="AD671" s="158"/>
      <c r="AE671" s="157"/>
      <c r="AF671" s="157"/>
      <c r="AG671" s="157"/>
      <c r="AH671" s="157"/>
      <c r="AI671" s="157"/>
      <c r="AJ671" s="157"/>
      <c r="AK671" s="157"/>
      <c r="AL671" s="157"/>
      <c r="AM671" s="157"/>
      <c r="AN671" s="157"/>
      <c r="AO671" s="157"/>
      <c r="AP671" s="157"/>
      <c r="AQ671" s="157"/>
      <c r="AR671" s="157"/>
      <c r="AS671" s="157"/>
      <c r="AT671" s="157"/>
      <c r="AU671" s="157"/>
      <c r="AV671" s="157"/>
      <c r="AW671" s="157"/>
      <c r="AX671" s="157"/>
      <c r="AY671" s="157"/>
      <c r="AZ671" s="157"/>
      <c r="BA671" s="157"/>
      <c r="BB671" s="157"/>
      <c r="BC671" s="446"/>
      <c r="BD671" s="446"/>
      <c r="BE671" s="48"/>
      <c r="BF671" s="49"/>
    </row>
    <row r="672" spans="1:58" ht="20.100000000000001" hidden="1" customHeight="1" x14ac:dyDescent="0.25">
      <c r="A672" s="444"/>
      <c r="B672" s="445"/>
      <c r="C672" s="433"/>
      <c r="D672" s="273"/>
      <c r="E672" s="273"/>
      <c r="F672" s="154"/>
      <c r="G672" s="154"/>
      <c r="H672" s="154"/>
      <c r="I672" s="155"/>
      <c r="J672" s="154"/>
      <c r="K672" s="155"/>
      <c r="L672" s="155"/>
      <c r="M672" s="155"/>
      <c r="N672" s="155"/>
      <c r="O672" s="155"/>
      <c r="P672" s="155"/>
      <c r="Q672" s="646" t="s">
        <v>156</v>
      </c>
      <c r="R672" s="646"/>
      <c r="S672" s="646"/>
      <c r="T672" s="646"/>
      <c r="U672" s="646"/>
      <c r="V672" s="161">
        <v>0</v>
      </c>
      <c r="W672" s="161">
        <v>0</v>
      </c>
      <c r="X672" s="161"/>
      <c r="Y672" s="161"/>
      <c r="Z672" s="157"/>
      <c r="AA672" s="157"/>
      <c r="AB672" s="157"/>
      <c r="AC672" s="157"/>
      <c r="AD672" s="158"/>
      <c r="AE672" s="157"/>
      <c r="AF672" s="157"/>
      <c r="AG672" s="157"/>
      <c r="AH672" s="157"/>
      <c r="AI672" s="157"/>
      <c r="AJ672" s="157"/>
      <c r="AK672" s="157"/>
      <c r="AL672" s="157"/>
      <c r="AM672" s="157"/>
      <c r="AN672" s="157"/>
      <c r="AO672" s="157"/>
      <c r="AP672" s="157"/>
      <c r="AQ672" s="157"/>
      <c r="AR672" s="157"/>
      <c r="AS672" s="157"/>
      <c r="AT672" s="157"/>
      <c r="AU672" s="157"/>
      <c r="AV672" s="157"/>
      <c r="AW672" s="157"/>
      <c r="AX672" s="157"/>
      <c r="AY672" s="157"/>
      <c r="AZ672" s="157"/>
      <c r="BA672" s="157"/>
      <c r="BB672" s="157"/>
      <c r="BC672" s="446"/>
      <c r="BD672" s="446"/>
      <c r="BE672" s="48"/>
      <c r="BF672" s="49"/>
    </row>
    <row r="673" spans="1:58" ht="20.100000000000001" hidden="1" customHeight="1" x14ac:dyDescent="0.25">
      <c r="A673" s="444"/>
      <c r="B673" s="445"/>
      <c r="C673" s="433"/>
      <c r="D673" s="273"/>
      <c r="E673" s="273"/>
      <c r="F673" s="154"/>
      <c r="G673" s="154"/>
      <c r="H673" s="154"/>
      <c r="I673" s="155"/>
      <c r="J673" s="154"/>
      <c r="K673" s="155"/>
      <c r="L673" s="155"/>
      <c r="M673" s="155"/>
      <c r="N673" s="155"/>
      <c r="O673" s="155"/>
      <c r="P673" s="155"/>
      <c r="Q673" s="646" t="s">
        <v>157</v>
      </c>
      <c r="R673" s="646"/>
      <c r="S673" s="646"/>
      <c r="T673" s="646"/>
      <c r="U673" s="647"/>
      <c r="V673" s="161">
        <f>+V670-V671</f>
        <v>0</v>
      </c>
      <c r="W673" s="161">
        <f>+W670-W671</f>
        <v>0</v>
      </c>
      <c r="X673" s="161">
        <f>+X670-X671</f>
        <v>2</v>
      </c>
      <c r="Y673" s="161">
        <f>+Y670-Y671</f>
        <v>2</v>
      </c>
      <c r="Z673" s="157"/>
      <c r="AA673" s="157"/>
      <c r="AB673" s="157"/>
      <c r="AC673" s="157"/>
      <c r="AD673" s="158"/>
      <c r="AE673" s="157"/>
      <c r="AF673" s="157"/>
      <c r="AG673" s="157"/>
      <c r="AH673" s="157"/>
      <c r="AI673" s="157"/>
      <c r="AJ673" s="157"/>
      <c r="AK673" s="157"/>
      <c r="AL673" s="157"/>
      <c r="AM673" s="157"/>
      <c r="AN673" s="157"/>
      <c r="AO673" s="157"/>
      <c r="AP673" s="157"/>
      <c r="AQ673" s="157"/>
      <c r="AR673" s="157"/>
      <c r="AS673" s="157"/>
      <c r="AT673" s="157"/>
      <c r="AU673" s="157"/>
      <c r="AV673" s="157"/>
      <c r="AW673" s="157"/>
      <c r="AX673" s="157"/>
      <c r="AY673" s="157"/>
      <c r="AZ673" s="157"/>
      <c r="BA673" s="157"/>
      <c r="BB673" s="157"/>
      <c r="BC673" s="446"/>
      <c r="BD673" s="446"/>
      <c r="BE673" s="48"/>
      <c r="BF673" s="49"/>
    </row>
    <row r="674" spans="1:58" ht="20.100000000000001" hidden="1" customHeight="1" x14ac:dyDescent="0.25">
      <c r="A674" s="444"/>
      <c r="B674" s="445"/>
      <c r="C674" s="433"/>
      <c r="D674" s="273"/>
      <c r="E674" s="273"/>
      <c r="F674" s="154"/>
      <c r="G674" s="154"/>
      <c r="H674" s="154"/>
      <c r="I674" s="155"/>
      <c r="J674" s="154"/>
      <c r="K674" s="155"/>
      <c r="L674" s="155"/>
      <c r="M674" s="155"/>
      <c r="N674" s="155"/>
      <c r="O674" s="155"/>
      <c r="P674" s="155"/>
      <c r="Q674" s="646" t="s">
        <v>158</v>
      </c>
      <c r="R674" s="646"/>
      <c r="S674" s="646"/>
      <c r="T674" s="646"/>
      <c r="U674" s="646"/>
      <c r="V674" s="156">
        <f>+V670</f>
        <v>2</v>
      </c>
      <c r="W674" s="156">
        <f>+W670</f>
        <v>2</v>
      </c>
      <c r="X674" s="156">
        <f>+X670</f>
        <v>2</v>
      </c>
      <c r="Y674" s="156">
        <f>+Y670</f>
        <v>2</v>
      </c>
      <c r="Z674" s="157"/>
      <c r="AA674" s="157"/>
      <c r="AB674" s="157"/>
      <c r="AC674" s="157"/>
      <c r="AD674" s="158"/>
      <c r="AE674" s="157"/>
      <c r="AF674" s="157"/>
      <c r="AG674" s="157"/>
      <c r="AH674" s="157"/>
      <c r="AI674" s="157"/>
      <c r="AJ674" s="157"/>
      <c r="AK674" s="157"/>
      <c r="AL674" s="157"/>
      <c r="AM674" s="157"/>
      <c r="AN674" s="157"/>
      <c r="AO674" s="157"/>
      <c r="AP674" s="157"/>
      <c r="AQ674" s="157"/>
      <c r="AR674" s="157"/>
      <c r="AS674" s="157"/>
      <c r="AT674" s="157"/>
      <c r="AU674" s="157"/>
      <c r="AV674" s="157"/>
      <c r="AW674" s="157"/>
      <c r="AX674" s="157"/>
      <c r="AY674" s="157"/>
      <c r="AZ674" s="157"/>
      <c r="BA674" s="157"/>
      <c r="BB674" s="157"/>
      <c r="BC674" s="446"/>
      <c r="BD674" s="446"/>
      <c r="BE674" s="48"/>
      <c r="BF674" s="49"/>
    </row>
    <row r="675" spans="1:58" ht="20.100000000000001" hidden="1" customHeight="1" x14ac:dyDescent="0.25">
      <c r="A675" s="444"/>
      <c r="B675" s="445"/>
      <c r="C675" s="107"/>
      <c r="D675" s="273"/>
      <c r="E675" s="273"/>
      <c r="F675" s="154"/>
      <c r="G675" s="154"/>
      <c r="H675" s="154"/>
      <c r="I675" s="155"/>
      <c r="J675" s="154"/>
      <c r="K675" s="155"/>
      <c r="L675" s="155"/>
      <c r="M675" s="155"/>
      <c r="N675" s="155"/>
      <c r="O675" s="155"/>
      <c r="P675" s="155"/>
      <c r="Q675" s="646" t="s">
        <v>159</v>
      </c>
      <c r="R675" s="646"/>
      <c r="S675" s="646"/>
      <c r="T675" s="646"/>
      <c r="U675" s="646"/>
      <c r="V675" s="161">
        <v>2</v>
      </c>
      <c r="W675" s="161">
        <v>2</v>
      </c>
      <c r="X675" s="161"/>
      <c r="Y675" s="161"/>
      <c r="Z675" s="157"/>
      <c r="AA675" s="157"/>
      <c r="AB675" s="157"/>
      <c r="AC675" s="157"/>
      <c r="AD675" s="158"/>
      <c r="AE675" s="157"/>
      <c r="AF675" s="157"/>
      <c r="AG675" s="157"/>
      <c r="AH675" s="157"/>
      <c r="AI675" s="157"/>
      <c r="AJ675" s="157"/>
      <c r="AK675" s="157"/>
      <c r="AL675" s="157"/>
      <c r="AM675" s="157"/>
      <c r="AN675" s="157"/>
      <c r="AO675" s="157"/>
      <c r="AP675" s="157"/>
      <c r="AQ675" s="157"/>
      <c r="AR675" s="157"/>
      <c r="AS675" s="157"/>
      <c r="AT675" s="157"/>
      <c r="AU675" s="157"/>
      <c r="AV675" s="157"/>
      <c r="AW675" s="157"/>
      <c r="AX675" s="157"/>
      <c r="AY675" s="157"/>
      <c r="AZ675" s="157"/>
      <c r="BA675" s="157"/>
      <c r="BB675" s="157"/>
      <c r="BC675" s="446"/>
      <c r="BD675" s="446"/>
      <c r="BE675" s="48"/>
      <c r="BF675" s="49"/>
    </row>
    <row r="676" spans="1:58" ht="15" hidden="1" customHeight="1" x14ac:dyDescent="0.25">
      <c r="A676" s="444"/>
      <c r="B676" s="445"/>
      <c r="C676" s="88"/>
      <c r="D676" s="82"/>
      <c r="E676" s="82"/>
      <c r="F676" s="46"/>
      <c r="G676" s="46"/>
      <c r="H676" s="46"/>
      <c r="I676" s="46"/>
      <c r="J676" s="83"/>
      <c r="K676" s="46"/>
      <c r="L676" s="46"/>
      <c r="M676" s="46"/>
      <c r="N676" s="46"/>
      <c r="O676" s="46"/>
      <c r="P676" s="46"/>
      <c r="Q676" s="46"/>
      <c r="R676" s="46"/>
      <c r="S676" s="46"/>
      <c r="T676" s="46"/>
      <c r="U676" s="46"/>
      <c r="V676" s="73"/>
      <c r="W676" s="73"/>
      <c r="X676" s="73"/>
      <c r="Y676" s="73"/>
      <c r="Z676" s="46"/>
      <c r="AA676" s="46"/>
      <c r="AB676" s="46"/>
      <c r="AC676" s="46"/>
      <c r="AD676" s="47"/>
      <c r="AE676" s="48"/>
      <c r="AF676" s="48"/>
      <c r="AG676" s="48"/>
      <c r="AH676" s="48"/>
      <c r="AI676" s="48"/>
      <c r="AJ676" s="48"/>
      <c r="AK676" s="48"/>
      <c r="AL676" s="48"/>
      <c r="AM676" s="48"/>
      <c r="AN676" s="48"/>
      <c r="AO676" s="48"/>
      <c r="AP676" s="48"/>
      <c r="AQ676" s="48"/>
      <c r="AR676" s="48"/>
      <c r="AS676" s="48"/>
      <c r="AT676" s="157"/>
      <c r="AU676" s="157"/>
      <c r="AV676" s="157"/>
      <c r="AW676" s="157"/>
      <c r="AX676" s="157"/>
      <c r="AY676" s="157"/>
      <c r="AZ676" s="157"/>
      <c r="BA676" s="157"/>
      <c r="BB676" s="157"/>
      <c r="BC676" s="446"/>
      <c r="BD676" s="446"/>
      <c r="BE676" s="48"/>
      <c r="BF676" s="49"/>
    </row>
    <row r="677" spans="1:58" ht="18.75" customHeight="1" x14ac:dyDescent="0.25">
      <c r="A677" s="444"/>
      <c r="B677" s="445"/>
      <c r="C677" s="85"/>
      <c r="D677" s="616" t="s">
        <v>44</v>
      </c>
      <c r="E677" s="616"/>
      <c r="F677" s="616"/>
      <c r="G677" s="616"/>
      <c r="H677" s="616"/>
      <c r="I677" s="616"/>
      <c r="J677" s="616"/>
      <c r="K677" s="616"/>
      <c r="L677" s="616"/>
      <c r="M677" s="616"/>
      <c r="N677" s="616"/>
      <c r="O677" s="616"/>
      <c r="P677" s="616"/>
      <c r="Q677" s="616"/>
      <c r="R677" s="616"/>
      <c r="S677" s="616"/>
      <c r="T677" s="616"/>
      <c r="U677" s="616"/>
      <c r="V677" s="616"/>
      <c r="W677" s="616"/>
      <c r="X677" s="616"/>
      <c r="Y677" s="616"/>
      <c r="Z677" s="616"/>
      <c r="AA677" s="616"/>
      <c r="AB677" s="616"/>
      <c r="AC677" s="616"/>
      <c r="AD677" s="616"/>
      <c r="AE677" s="616"/>
      <c r="AF677" s="616"/>
      <c r="AG677" s="616"/>
      <c r="AH677" s="616"/>
      <c r="AI677" s="616"/>
      <c r="AJ677" s="616"/>
      <c r="AK677" s="616"/>
      <c r="AL677" s="616"/>
      <c r="AM677" s="616"/>
      <c r="AN677" s="616"/>
      <c r="AO677" s="616"/>
      <c r="AP677" s="616"/>
      <c r="AQ677" s="616"/>
      <c r="AR677" s="616"/>
      <c r="AS677" s="616"/>
      <c r="AT677" s="616" t="s">
        <v>102</v>
      </c>
      <c r="AU677" s="616"/>
      <c r="AV677" s="616"/>
      <c r="AW677" s="616"/>
      <c r="AX677" s="616"/>
      <c r="AY677" s="616"/>
      <c r="AZ677" s="616"/>
      <c r="BA677" s="616"/>
      <c r="BB677" s="616"/>
      <c r="BC677" s="616"/>
      <c r="BD677" s="616"/>
      <c r="BE677" s="48"/>
      <c r="BF677" s="49"/>
    </row>
    <row r="678" spans="1:58" ht="15" hidden="1" customHeight="1" x14ac:dyDescent="0.25">
      <c r="A678" s="444"/>
      <c r="B678" s="445"/>
      <c r="C678" s="85"/>
      <c r="D678" s="325"/>
      <c r="E678" s="325"/>
      <c r="F678" s="326"/>
      <c r="G678" s="42"/>
      <c r="H678" s="327"/>
      <c r="I678" s="42"/>
      <c r="J678" s="328"/>
      <c r="K678" s="42"/>
      <c r="L678" s="42"/>
      <c r="M678" s="42"/>
      <c r="N678" s="42"/>
      <c r="O678" s="42"/>
      <c r="P678" s="329"/>
      <c r="Q678" s="329"/>
      <c r="R678" s="329"/>
      <c r="S678" s="329"/>
      <c r="T678" s="329"/>
      <c r="U678" s="329"/>
      <c r="V678" s="329"/>
      <c r="W678" s="329"/>
      <c r="X678" s="329"/>
      <c r="Y678" s="329"/>
      <c r="Z678" s="329"/>
      <c r="AA678" s="329"/>
      <c r="AB678" s="329"/>
      <c r="AC678" s="329"/>
      <c r="AD678" s="330"/>
      <c r="AE678" s="214"/>
      <c r="AF678" s="214"/>
      <c r="AG678" s="214"/>
      <c r="AH678" s="214"/>
      <c r="AI678" s="214"/>
      <c r="AJ678" s="214"/>
      <c r="AK678" s="214"/>
      <c r="AL678" s="157"/>
      <c r="AM678" s="157"/>
      <c r="AN678" s="157"/>
      <c r="AO678" s="157"/>
      <c r="AP678" s="157"/>
      <c r="AQ678" s="157"/>
      <c r="AR678" s="157"/>
      <c r="AS678" s="157"/>
      <c r="AT678" s="157"/>
      <c r="AU678" s="48"/>
      <c r="AV678" s="48"/>
      <c r="AW678" s="48"/>
      <c r="AX678" s="48"/>
      <c r="AY678" s="48"/>
      <c r="AZ678" s="48"/>
      <c r="BA678" s="48"/>
      <c r="BB678" s="48"/>
      <c r="BC678" s="48"/>
      <c r="BD678" s="48"/>
      <c r="BE678" s="48"/>
      <c r="BF678" s="49"/>
    </row>
    <row r="679" spans="1:58" ht="20.100000000000001" hidden="1" customHeight="1" x14ac:dyDescent="0.25">
      <c r="A679" s="79"/>
      <c r="B679" s="80"/>
      <c r="C679" s="85"/>
      <c r="D679" s="109" t="s">
        <v>103</v>
      </c>
      <c r="E679" s="82"/>
      <c r="F679" s="46"/>
      <c r="G679" s="46"/>
      <c r="H679" s="46"/>
      <c r="I679" s="46"/>
      <c r="J679" s="83"/>
      <c r="K679" s="46"/>
      <c r="L679" s="46"/>
      <c r="M679" s="46"/>
      <c r="N679" s="46"/>
      <c r="O679" s="46"/>
      <c r="P679" s="46"/>
      <c r="Q679" s="46"/>
      <c r="R679" s="46"/>
      <c r="S679" s="46"/>
      <c r="T679" s="46"/>
      <c r="U679" s="46"/>
      <c r="V679" s="42"/>
      <c r="W679" s="46"/>
      <c r="X679" s="46"/>
      <c r="Y679" s="46"/>
      <c r="Z679" s="46"/>
      <c r="AA679" s="46"/>
      <c r="AB679" s="46"/>
      <c r="AC679" s="46"/>
      <c r="AD679" s="47"/>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9"/>
    </row>
    <row r="680" spans="1:58" ht="18.75" customHeight="1" x14ac:dyDescent="0.25">
      <c r="A680" s="444"/>
      <c r="B680" s="445"/>
      <c r="C680" s="85"/>
      <c r="D680" s="710" t="s">
        <v>1062</v>
      </c>
      <c r="E680" s="710"/>
      <c r="F680" s="710"/>
      <c r="G680" s="710"/>
      <c r="H680" s="710"/>
      <c r="I680" s="710"/>
      <c r="J680" s="710"/>
      <c r="K680" s="710"/>
      <c r="L680" s="710"/>
      <c r="M680" s="710"/>
      <c r="N680" s="710"/>
      <c r="O680" s="710"/>
      <c r="P680" s="710"/>
      <c r="Q680" s="710"/>
      <c r="R680" s="710"/>
      <c r="S680" s="710"/>
      <c r="T680" s="710"/>
      <c r="U680" s="710"/>
      <c r="V680" s="710"/>
      <c r="W680" s="710"/>
      <c r="X680" s="710"/>
      <c r="Y680" s="710"/>
      <c r="Z680" s="710"/>
      <c r="AA680" s="710"/>
      <c r="AB680" s="710"/>
      <c r="AC680" s="710"/>
      <c r="AD680" s="710"/>
      <c r="AE680" s="710"/>
      <c r="AF680" s="710"/>
      <c r="AG680" s="710"/>
      <c r="AH680" s="710"/>
      <c r="AI680" s="710"/>
      <c r="AJ680" s="710"/>
      <c r="AK680" s="710"/>
      <c r="AL680" s="710"/>
      <c r="AM680" s="710"/>
      <c r="AN680" s="710"/>
      <c r="AO680" s="710"/>
      <c r="AP680" s="710"/>
      <c r="AQ680" s="710"/>
      <c r="AR680" s="710"/>
      <c r="AS680" s="710"/>
      <c r="AT680" s="561" t="s">
        <v>104</v>
      </c>
      <c r="AU680" s="563"/>
      <c r="AV680" s="563"/>
      <c r="AW680" s="563"/>
      <c r="AX680" s="563"/>
      <c r="AY680" s="563"/>
      <c r="AZ680" s="563"/>
      <c r="BA680" s="563"/>
      <c r="BB680" s="562"/>
      <c r="BC680" s="561" t="s">
        <v>105</v>
      </c>
      <c r="BD680" s="562"/>
      <c r="BE680" s="48"/>
      <c r="BF680" s="49"/>
    </row>
    <row r="681" spans="1:58" ht="15" customHeight="1" x14ac:dyDescent="0.25">
      <c r="A681" s="79"/>
      <c r="B681" s="80"/>
      <c r="C681" s="85"/>
      <c r="D681" s="691" t="s">
        <v>106</v>
      </c>
      <c r="E681" s="691" t="s">
        <v>107</v>
      </c>
      <c r="F681" s="711" t="s">
        <v>108</v>
      </c>
      <c r="G681" s="691" t="s">
        <v>109</v>
      </c>
      <c r="H681" s="711" t="s">
        <v>110</v>
      </c>
      <c r="I681" s="691" t="s">
        <v>51</v>
      </c>
      <c r="J681" s="712" t="s">
        <v>111</v>
      </c>
      <c r="K681" s="691" t="s">
        <v>52</v>
      </c>
      <c r="L681" s="691"/>
      <c r="M681" s="691"/>
      <c r="N681" s="691" t="s">
        <v>53</v>
      </c>
      <c r="O681" s="691" t="s">
        <v>54</v>
      </c>
      <c r="P681" s="703" t="s">
        <v>55</v>
      </c>
      <c r="Q681" s="703" t="s">
        <v>56</v>
      </c>
      <c r="R681" s="703" t="s">
        <v>57</v>
      </c>
      <c r="S681" s="703" t="s">
        <v>58</v>
      </c>
      <c r="T681" s="703" t="s">
        <v>59</v>
      </c>
      <c r="U681" s="691" t="s">
        <v>60</v>
      </c>
      <c r="V681" s="691"/>
      <c r="W681" s="691"/>
      <c r="X681" s="691"/>
      <c r="Y681" s="691"/>
      <c r="Z681" s="704" t="s">
        <v>61</v>
      </c>
      <c r="AA681" s="705"/>
      <c r="AB681" s="705"/>
      <c r="AC681" s="706"/>
      <c r="AD681" s="707" t="s">
        <v>62</v>
      </c>
      <c r="AE681" s="708"/>
      <c r="AF681" s="709"/>
      <c r="AG681" s="695" t="s">
        <v>63</v>
      </c>
      <c r="AH681" s="695" t="s">
        <v>64</v>
      </c>
      <c r="AI681" s="695" t="s">
        <v>65</v>
      </c>
      <c r="AJ681" s="697" t="s">
        <v>66</v>
      </c>
      <c r="AK681" s="697"/>
      <c r="AL681" s="697"/>
      <c r="AM681" s="697"/>
      <c r="AN681" s="699"/>
      <c r="AO681" s="699"/>
      <c r="AP681" s="699"/>
      <c r="AQ681" s="699"/>
      <c r="AR681" s="699"/>
      <c r="AS681" s="700"/>
      <c r="AT681" s="558" t="s">
        <v>60</v>
      </c>
      <c r="AU681" s="569" t="s">
        <v>112</v>
      </c>
      <c r="AV681" s="570"/>
      <c r="AW681" s="570"/>
      <c r="AX681" s="571"/>
      <c r="AY681" s="569" t="s">
        <v>113</v>
      </c>
      <c r="AZ681" s="570"/>
      <c r="BA681" s="570"/>
      <c r="BB681" s="571"/>
      <c r="BC681" s="584" t="s">
        <v>114</v>
      </c>
      <c r="BD681" s="587" t="s">
        <v>102</v>
      </c>
      <c r="BE681" s="48"/>
      <c r="BF681" s="49"/>
    </row>
    <row r="682" spans="1:58" ht="15" customHeight="1" x14ac:dyDescent="0.25">
      <c r="A682" s="79"/>
      <c r="B682" s="80"/>
      <c r="C682" s="85"/>
      <c r="D682" s="691"/>
      <c r="E682" s="691"/>
      <c r="F682" s="711"/>
      <c r="G682" s="691"/>
      <c r="H682" s="711"/>
      <c r="I682" s="691"/>
      <c r="J682" s="712"/>
      <c r="K682" s="691"/>
      <c r="L682" s="691"/>
      <c r="M682" s="691"/>
      <c r="N682" s="691"/>
      <c r="O682" s="691"/>
      <c r="P682" s="703"/>
      <c r="Q682" s="703"/>
      <c r="R682" s="703"/>
      <c r="S682" s="703"/>
      <c r="T682" s="703"/>
      <c r="U682" s="691" t="s">
        <v>67</v>
      </c>
      <c r="V682" s="691"/>
      <c r="W682" s="691"/>
      <c r="X682" s="691"/>
      <c r="Y682" s="691"/>
      <c r="Z682" s="692" t="s">
        <v>67</v>
      </c>
      <c r="AA682" s="693"/>
      <c r="AB682" s="693"/>
      <c r="AC682" s="694"/>
      <c r="AD682" s="695" t="s">
        <v>68</v>
      </c>
      <c r="AE682" s="695" t="s">
        <v>69</v>
      </c>
      <c r="AF682" s="695" t="s">
        <v>70</v>
      </c>
      <c r="AG682" s="696"/>
      <c r="AH682" s="696"/>
      <c r="AI682" s="696"/>
      <c r="AJ682" s="698"/>
      <c r="AK682" s="698"/>
      <c r="AL682" s="698"/>
      <c r="AM682" s="698"/>
      <c r="AN682" s="701"/>
      <c r="AO682" s="701"/>
      <c r="AP682" s="701"/>
      <c r="AQ682" s="701"/>
      <c r="AR682" s="701"/>
      <c r="AS682" s="702"/>
      <c r="AT682" s="559"/>
      <c r="AU682" s="572"/>
      <c r="AV682" s="573"/>
      <c r="AW682" s="573"/>
      <c r="AX682" s="574"/>
      <c r="AY682" s="572"/>
      <c r="AZ682" s="573"/>
      <c r="BA682" s="573"/>
      <c r="BB682" s="574"/>
      <c r="BC682" s="585"/>
      <c r="BD682" s="588"/>
      <c r="BE682" s="48"/>
      <c r="BF682" s="49"/>
    </row>
    <row r="683" spans="1:58" s="95" customFormat="1" ht="24" customHeight="1" x14ac:dyDescent="0.25">
      <c r="A683" s="86"/>
      <c r="B683" s="87"/>
      <c r="C683" s="88"/>
      <c r="D683" s="691"/>
      <c r="E683" s="691"/>
      <c r="F683" s="711"/>
      <c r="G683" s="691"/>
      <c r="H683" s="711"/>
      <c r="I683" s="691"/>
      <c r="J683" s="712"/>
      <c r="K683" s="89" t="s">
        <v>71</v>
      </c>
      <c r="L683" s="89" t="s">
        <v>115</v>
      </c>
      <c r="M683" s="89" t="s">
        <v>72</v>
      </c>
      <c r="N683" s="691"/>
      <c r="O683" s="691"/>
      <c r="P683" s="703"/>
      <c r="Q683" s="703"/>
      <c r="R683" s="703"/>
      <c r="S683" s="703"/>
      <c r="T683" s="703"/>
      <c r="U683" s="90" t="s">
        <v>73</v>
      </c>
      <c r="V683" s="89">
        <v>1</v>
      </c>
      <c r="W683" s="91">
        <v>2</v>
      </c>
      <c r="X683" s="91">
        <v>3</v>
      </c>
      <c r="Y683" s="91">
        <v>4</v>
      </c>
      <c r="Z683" s="162">
        <v>1</v>
      </c>
      <c r="AA683" s="110">
        <v>2</v>
      </c>
      <c r="AB683" s="110">
        <v>3</v>
      </c>
      <c r="AC683" s="110">
        <v>4</v>
      </c>
      <c r="AD683" s="696"/>
      <c r="AE683" s="696"/>
      <c r="AF683" s="696"/>
      <c r="AG683" s="696"/>
      <c r="AH683" s="696"/>
      <c r="AI683" s="697"/>
      <c r="AJ683" s="342" t="s">
        <v>74</v>
      </c>
      <c r="AK683" s="343" t="s">
        <v>75</v>
      </c>
      <c r="AL683" s="343" t="s">
        <v>76</v>
      </c>
      <c r="AM683" s="343" t="s">
        <v>77</v>
      </c>
      <c r="AN683" s="92" t="s">
        <v>78</v>
      </c>
      <c r="AO683" s="92" t="s">
        <v>79</v>
      </c>
      <c r="AP683" s="92" t="s">
        <v>80</v>
      </c>
      <c r="AQ683" s="92" t="s">
        <v>81</v>
      </c>
      <c r="AR683" s="93" t="s">
        <v>82</v>
      </c>
      <c r="AS683" s="93" t="s">
        <v>83</v>
      </c>
      <c r="AT683" s="560"/>
      <c r="AU683" s="111" t="s">
        <v>116</v>
      </c>
      <c r="AV683" s="111" t="s">
        <v>117</v>
      </c>
      <c r="AW683" s="111" t="s">
        <v>118</v>
      </c>
      <c r="AX683" s="111" t="s">
        <v>119</v>
      </c>
      <c r="AY683" s="111" t="s">
        <v>116</v>
      </c>
      <c r="AZ683" s="111" t="s">
        <v>117</v>
      </c>
      <c r="BA683" s="111" t="s">
        <v>118</v>
      </c>
      <c r="BB683" s="111" t="s">
        <v>119</v>
      </c>
      <c r="BC683" s="586"/>
      <c r="BD683" s="617"/>
      <c r="BE683" s="48"/>
      <c r="BF683" s="49"/>
    </row>
    <row r="684" spans="1:58" s="120" customFormat="1" ht="30" customHeight="1" x14ac:dyDescent="0.25">
      <c r="A684" s="675"/>
      <c r="B684" s="664"/>
      <c r="C684" s="665">
        <v>1</v>
      </c>
      <c r="D684" s="687" t="s">
        <v>1063</v>
      </c>
      <c r="E684" s="688" t="s">
        <v>327</v>
      </c>
      <c r="F684" s="657">
        <v>0.5</v>
      </c>
      <c r="G684" s="686" t="s">
        <v>1064</v>
      </c>
      <c r="H684" s="657">
        <v>0.8</v>
      </c>
      <c r="I684" s="686" t="s">
        <v>1065</v>
      </c>
      <c r="J684" s="666">
        <v>0.5</v>
      </c>
      <c r="K684" s="680" t="s">
        <v>1066</v>
      </c>
      <c r="L684" s="677" t="s">
        <v>1067</v>
      </c>
      <c r="M684" s="661" t="str">
        <f>CONCATENATE(U684, $U$32, U685)</f>
        <v>Evaluaciones y seguimientos ejecutados  / Evaluaciones y seguimientos programados</v>
      </c>
      <c r="N684" s="678" t="s">
        <v>1068</v>
      </c>
      <c r="O684" s="678" t="s">
        <v>89</v>
      </c>
      <c r="P684" s="679">
        <v>0.4</v>
      </c>
      <c r="Q684" s="679">
        <v>1</v>
      </c>
      <c r="R684" s="657">
        <v>1</v>
      </c>
      <c r="S684" s="657">
        <v>1</v>
      </c>
      <c r="T684" s="676" t="s">
        <v>1069</v>
      </c>
      <c r="U684" s="112" t="s">
        <v>1070</v>
      </c>
      <c r="V684" s="129"/>
      <c r="W684" s="129"/>
      <c r="X684" s="129"/>
      <c r="Y684" s="129"/>
      <c r="Z684" s="130"/>
      <c r="AA684" s="130"/>
      <c r="AB684" s="130"/>
      <c r="AC684" s="130"/>
      <c r="AD684" s="685">
        <v>28000000</v>
      </c>
      <c r="AE684" s="685">
        <v>28000000</v>
      </c>
      <c r="AF684" s="685" t="s">
        <v>90</v>
      </c>
      <c r="AG684" s="685" t="s">
        <v>90</v>
      </c>
      <c r="AH684" s="682" t="s">
        <v>1071</v>
      </c>
      <c r="AI684" s="682" t="s">
        <v>1071</v>
      </c>
      <c r="AJ684" s="672" t="s">
        <v>94</v>
      </c>
      <c r="AK684" s="672"/>
      <c r="AL684" s="672"/>
      <c r="AM684" s="672"/>
      <c r="AN684" s="672" t="s">
        <v>94</v>
      </c>
      <c r="AO684" s="672"/>
      <c r="AP684" s="672"/>
      <c r="AQ684" s="672" t="s">
        <v>94</v>
      </c>
      <c r="AR684" s="672"/>
      <c r="AS684" s="672"/>
      <c r="AT684" s="190" t="s">
        <v>129</v>
      </c>
      <c r="AU684" s="197">
        <f t="shared" ref="AU684:BB684" si="520">+V686*$J$684</f>
        <v>0</v>
      </c>
      <c r="AV684" s="203">
        <f t="shared" si="520"/>
        <v>0</v>
      </c>
      <c r="AW684" s="203">
        <f t="shared" si="520"/>
        <v>0</v>
      </c>
      <c r="AX684" s="203">
        <f t="shared" si="520"/>
        <v>0</v>
      </c>
      <c r="AY684" s="197">
        <f t="shared" si="520"/>
        <v>0</v>
      </c>
      <c r="AZ684" s="203">
        <f t="shared" si="520"/>
        <v>0</v>
      </c>
      <c r="BA684" s="203">
        <f t="shared" si="520"/>
        <v>0</v>
      </c>
      <c r="BB684" s="204">
        <f t="shared" si="520"/>
        <v>0</v>
      </c>
      <c r="BC684" s="546">
        <f>+BB685</f>
        <v>0</v>
      </c>
      <c r="BD684" s="546">
        <f>+BC684</f>
        <v>0</v>
      </c>
      <c r="BE684" s="117"/>
      <c r="BF684" s="118"/>
    </row>
    <row r="685" spans="1:58" s="120" customFormat="1" ht="30" customHeight="1" thickBot="1" x14ac:dyDescent="0.3">
      <c r="A685" s="675"/>
      <c r="B685" s="664"/>
      <c r="C685" s="665"/>
      <c r="D685" s="687"/>
      <c r="E685" s="689"/>
      <c r="F685" s="657"/>
      <c r="G685" s="686"/>
      <c r="H685" s="657"/>
      <c r="I685" s="686"/>
      <c r="J685" s="666"/>
      <c r="K685" s="680"/>
      <c r="L685" s="677"/>
      <c r="M685" s="662"/>
      <c r="N685" s="678"/>
      <c r="O685" s="678"/>
      <c r="P685" s="679"/>
      <c r="Q685" s="679"/>
      <c r="R685" s="657"/>
      <c r="S685" s="657"/>
      <c r="T685" s="676"/>
      <c r="U685" s="300" t="s">
        <v>1072</v>
      </c>
      <c r="V685" s="133">
        <v>0.01</v>
      </c>
      <c r="W685" s="122">
        <v>4</v>
      </c>
      <c r="X685" s="122">
        <v>9</v>
      </c>
      <c r="Y685" s="122">
        <v>14</v>
      </c>
      <c r="Z685" s="133">
        <v>0.01</v>
      </c>
      <c r="AA685" s="122">
        <f>+W685</f>
        <v>4</v>
      </c>
      <c r="AB685" s="122">
        <f>+X685</f>
        <v>9</v>
      </c>
      <c r="AC685" s="122">
        <f>+Y685</f>
        <v>14</v>
      </c>
      <c r="AD685" s="685"/>
      <c r="AE685" s="685"/>
      <c r="AF685" s="685"/>
      <c r="AG685" s="685"/>
      <c r="AH685" s="683"/>
      <c r="AI685" s="683"/>
      <c r="AJ685" s="672"/>
      <c r="AK685" s="672"/>
      <c r="AL685" s="672"/>
      <c r="AM685" s="672"/>
      <c r="AN685" s="672"/>
      <c r="AO685" s="672"/>
      <c r="AP685" s="672"/>
      <c r="AQ685" s="672"/>
      <c r="AR685" s="672"/>
      <c r="AS685" s="672"/>
      <c r="AT685" s="190" t="s">
        <v>131</v>
      </c>
      <c r="AU685" s="203">
        <f>+((AU684+AU687+AU690)*$H$684)+(AU693*$H$693)+(AU696*$H$696)</f>
        <v>0</v>
      </c>
      <c r="AV685" s="203">
        <f t="shared" ref="AV685:BB685" si="521">+((AV684+AV687+AV690)*$H$684)+(AV693*$H$693)+(AV696*$H$696)</f>
        <v>0</v>
      </c>
      <c r="AW685" s="203">
        <f t="shared" si="521"/>
        <v>0</v>
      </c>
      <c r="AX685" s="203">
        <f t="shared" si="521"/>
        <v>0</v>
      </c>
      <c r="AY685" s="203">
        <f t="shared" si="521"/>
        <v>0</v>
      </c>
      <c r="AZ685" s="203">
        <f t="shared" si="521"/>
        <v>0</v>
      </c>
      <c r="BA685" s="203">
        <f t="shared" si="521"/>
        <v>0</v>
      </c>
      <c r="BB685" s="203">
        <f t="shared" si="521"/>
        <v>0</v>
      </c>
      <c r="BC685" s="547"/>
      <c r="BD685" s="547"/>
      <c r="BE685" s="117"/>
      <c r="BF685" s="118"/>
    </row>
    <row r="686" spans="1:58" s="120" customFormat="1" ht="24.95" customHeight="1" thickBot="1" x14ac:dyDescent="0.3">
      <c r="A686" s="675"/>
      <c r="B686" s="664"/>
      <c r="C686" s="665"/>
      <c r="D686" s="687"/>
      <c r="E686" s="689"/>
      <c r="F686" s="657"/>
      <c r="G686" s="686"/>
      <c r="H686" s="657"/>
      <c r="I686" s="686"/>
      <c r="J686" s="666"/>
      <c r="K686" s="680"/>
      <c r="L686" s="677"/>
      <c r="M686" s="663"/>
      <c r="N686" s="678"/>
      <c r="O686" s="678"/>
      <c r="P686" s="679"/>
      <c r="Q686" s="679"/>
      <c r="R686" s="657"/>
      <c r="S686" s="657"/>
      <c r="T686" s="676"/>
      <c r="U686" s="125" t="s">
        <v>96</v>
      </c>
      <c r="V686" s="197">
        <f>IF((V684/V685)&lt;$I$8,(V684/V685),IF((V684/V685)&lt;$J$8,(V684/V685),IF((V684/V685)&lt;$J$9,(V684/V685),IF((V684/V685)&gt;=$J$9,$J$9))))</f>
        <v>0</v>
      </c>
      <c r="W686" s="447">
        <f t="shared" ref="W686:AC686" si="522">IF((W684/W685)&lt;$I$8,(W684/W685),IF((W684/W685)&lt;$J$8,(W684/W685),IF((W684/W685)&lt;$J$8,(W684/W685),IF((W684/W685)&gt;=$J$9,$J$9))))</f>
        <v>0</v>
      </c>
      <c r="X686" s="447">
        <f t="shared" si="522"/>
        <v>0</v>
      </c>
      <c r="Y686" s="447">
        <f t="shared" si="522"/>
        <v>0</v>
      </c>
      <c r="Z686" s="197">
        <f>IF((Z684/Z685)&lt;$I$8,(Z684/Z685),IF((Z684/Z685)&lt;$J$8,(Z684/Z685),IF((Z684/Z685)&lt;$J$9,(Z684/Z685),IF((Z684/Z685)&gt;=$J$9,$J$9))))</f>
        <v>0</v>
      </c>
      <c r="AA686" s="447">
        <f t="shared" si="522"/>
        <v>0</v>
      </c>
      <c r="AB686" s="447">
        <f t="shared" si="522"/>
        <v>0</v>
      </c>
      <c r="AC686" s="448">
        <f t="shared" si="522"/>
        <v>0</v>
      </c>
      <c r="AD686" s="685"/>
      <c r="AE686" s="685"/>
      <c r="AF686" s="685"/>
      <c r="AG686" s="685"/>
      <c r="AH686" s="683"/>
      <c r="AI686" s="683"/>
      <c r="AJ686" s="672"/>
      <c r="AK686" s="672"/>
      <c r="AL686" s="672"/>
      <c r="AM686" s="672"/>
      <c r="AN686" s="672"/>
      <c r="AO686" s="672"/>
      <c r="AP686" s="672"/>
      <c r="AQ686" s="672"/>
      <c r="AR686" s="672"/>
      <c r="AS686" s="672"/>
      <c r="AT686" s="190" t="s">
        <v>132</v>
      </c>
      <c r="AU686" s="203">
        <f t="shared" ref="AU686:BB686" si="523">+(AU685*$F$684)+(AU700*$F$699)+(AU709*$F$708)</f>
        <v>0</v>
      </c>
      <c r="AV686" s="203">
        <f t="shared" si="523"/>
        <v>0</v>
      </c>
      <c r="AW686" s="203">
        <f t="shared" si="523"/>
        <v>0</v>
      </c>
      <c r="AX686" s="203">
        <f t="shared" si="523"/>
        <v>0</v>
      </c>
      <c r="AY686" s="203">
        <f t="shared" si="523"/>
        <v>0</v>
      </c>
      <c r="AZ686" s="203">
        <f t="shared" si="523"/>
        <v>0</v>
      </c>
      <c r="BA686" s="203">
        <f t="shared" si="523"/>
        <v>0</v>
      </c>
      <c r="BB686" s="308">
        <f t="shared" si="523"/>
        <v>0</v>
      </c>
      <c r="BC686" s="547"/>
      <c r="BD686" s="547"/>
      <c r="BE686" s="117"/>
      <c r="BF686" s="118"/>
    </row>
    <row r="687" spans="1:58" s="120" customFormat="1" ht="30" customHeight="1" x14ac:dyDescent="0.25">
      <c r="A687" s="675"/>
      <c r="B687" s="664"/>
      <c r="C687" s="665">
        <v>2</v>
      </c>
      <c r="D687" s="687"/>
      <c r="E687" s="689"/>
      <c r="F687" s="657"/>
      <c r="G687" s="686"/>
      <c r="H687" s="657"/>
      <c r="I687" s="686"/>
      <c r="J687" s="666">
        <v>0.4</v>
      </c>
      <c r="K687" s="680" t="s">
        <v>1073</v>
      </c>
      <c r="L687" s="677" t="s">
        <v>1074</v>
      </c>
      <c r="M687" s="661" t="str">
        <f t="shared" ref="M687" si="524">CONCATENATE(U687, $U$32, U688)</f>
        <v>Informes de Ley Ejecutados / Informes de Ley Programados</v>
      </c>
      <c r="N687" s="678" t="s">
        <v>1075</v>
      </c>
      <c r="O687" s="678" t="s">
        <v>89</v>
      </c>
      <c r="P687" s="679">
        <v>0.32</v>
      </c>
      <c r="Q687" s="679">
        <v>1</v>
      </c>
      <c r="R687" s="657">
        <v>1</v>
      </c>
      <c r="S687" s="657">
        <v>1</v>
      </c>
      <c r="T687" s="676" t="s">
        <v>1069</v>
      </c>
      <c r="U687" s="112" t="s">
        <v>1076</v>
      </c>
      <c r="V687" s="129"/>
      <c r="W687" s="129"/>
      <c r="X687" s="129"/>
      <c r="Y687" s="129"/>
      <c r="Z687" s="130"/>
      <c r="AA687" s="130"/>
      <c r="AB687" s="130"/>
      <c r="AC687" s="130"/>
      <c r="AD687" s="685"/>
      <c r="AE687" s="685"/>
      <c r="AF687" s="685"/>
      <c r="AG687" s="685"/>
      <c r="AH687" s="683"/>
      <c r="AI687" s="683"/>
      <c r="AJ687" s="672" t="s">
        <v>94</v>
      </c>
      <c r="AK687" s="672"/>
      <c r="AL687" s="672"/>
      <c r="AM687" s="672"/>
      <c r="AN687" s="672" t="s">
        <v>94</v>
      </c>
      <c r="AO687" s="672"/>
      <c r="AP687" s="672"/>
      <c r="AQ687" s="672" t="s">
        <v>94</v>
      </c>
      <c r="AR687" s="672"/>
      <c r="AS687" s="669"/>
      <c r="AT687" s="190" t="s">
        <v>129</v>
      </c>
      <c r="AU687" s="203">
        <f t="shared" ref="AU687:BB687" si="525">+V689*$J$687</f>
        <v>0</v>
      </c>
      <c r="AV687" s="203">
        <f t="shared" si="525"/>
        <v>0</v>
      </c>
      <c r="AW687" s="203">
        <f t="shared" si="525"/>
        <v>0</v>
      </c>
      <c r="AX687" s="203">
        <f t="shared" si="525"/>
        <v>0</v>
      </c>
      <c r="AY687" s="203">
        <f t="shared" si="525"/>
        <v>0</v>
      </c>
      <c r="AZ687" s="203">
        <f t="shared" si="525"/>
        <v>0</v>
      </c>
      <c r="BA687" s="203">
        <f t="shared" si="525"/>
        <v>0</v>
      </c>
      <c r="BB687" s="204">
        <f t="shared" si="525"/>
        <v>0</v>
      </c>
      <c r="BC687" s="547"/>
      <c r="BD687" s="547"/>
      <c r="BE687" s="117"/>
      <c r="BF687" s="118"/>
    </row>
    <row r="688" spans="1:58" s="120" customFormat="1" ht="30" customHeight="1" x14ac:dyDescent="0.25">
      <c r="A688" s="675"/>
      <c r="B688" s="664"/>
      <c r="C688" s="665"/>
      <c r="D688" s="687"/>
      <c r="E688" s="689"/>
      <c r="F688" s="657"/>
      <c r="G688" s="686"/>
      <c r="H688" s="657"/>
      <c r="I688" s="686"/>
      <c r="J688" s="666"/>
      <c r="K688" s="680"/>
      <c r="L688" s="677"/>
      <c r="M688" s="662"/>
      <c r="N688" s="678"/>
      <c r="O688" s="678"/>
      <c r="P688" s="679"/>
      <c r="Q688" s="679"/>
      <c r="R688" s="657"/>
      <c r="S688" s="657"/>
      <c r="T688" s="676"/>
      <c r="U688" s="300" t="s">
        <v>1077</v>
      </c>
      <c r="V688" s="133">
        <v>20</v>
      </c>
      <c r="W688" s="133">
        <v>34</v>
      </c>
      <c r="X688" s="133">
        <v>57</v>
      </c>
      <c r="Y688" s="133">
        <v>72</v>
      </c>
      <c r="Z688" s="133">
        <f>+V688</f>
        <v>20</v>
      </c>
      <c r="AA688" s="133">
        <f>+W688</f>
        <v>34</v>
      </c>
      <c r="AB688" s="133">
        <f>+X688</f>
        <v>57</v>
      </c>
      <c r="AC688" s="133">
        <f>+Y688</f>
        <v>72</v>
      </c>
      <c r="AD688" s="685"/>
      <c r="AE688" s="685"/>
      <c r="AF688" s="685"/>
      <c r="AG688" s="685"/>
      <c r="AH688" s="683"/>
      <c r="AI688" s="683"/>
      <c r="AJ688" s="672"/>
      <c r="AK688" s="672"/>
      <c r="AL688" s="672"/>
      <c r="AM688" s="672"/>
      <c r="AN688" s="672"/>
      <c r="AO688" s="672"/>
      <c r="AP688" s="672"/>
      <c r="AQ688" s="672"/>
      <c r="AR688" s="672"/>
      <c r="AS688" s="670"/>
      <c r="AT688" s="190" t="s">
        <v>131</v>
      </c>
      <c r="AU688" s="575"/>
      <c r="AV688" s="576"/>
      <c r="AW688" s="576"/>
      <c r="AX688" s="576"/>
      <c r="AY688" s="576"/>
      <c r="AZ688" s="576"/>
      <c r="BA688" s="576"/>
      <c r="BB688" s="577"/>
      <c r="BC688" s="547"/>
      <c r="BD688" s="547"/>
      <c r="BE688" s="117"/>
      <c r="BF688" s="118"/>
    </row>
    <row r="689" spans="1:58" s="120" customFormat="1" ht="24.95" customHeight="1" x14ac:dyDescent="0.25">
      <c r="A689" s="675"/>
      <c r="B689" s="664"/>
      <c r="C689" s="665"/>
      <c r="D689" s="687"/>
      <c r="E689" s="689"/>
      <c r="F689" s="657"/>
      <c r="G689" s="686"/>
      <c r="H689" s="657"/>
      <c r="I689" s="686"/>
      <c r="J689" s="666"/>
      <c r="K689" s="680"/>
      <c r="L689" s="677"/>
      <c r="M689" s="663"/>
      <c r="N689" s="678"/>
      <c r="O689" s="678"/>
      <c r="P689" s="679"/>
      <c r="Q689" s="679"/>
      <c r="R689" s="657"/>
      <c r="S689" s="657"/>
      <c r="T689" s="676"/>
      <c r="U689" s="125" t="s">
        <v>96</v>
      </c>
      <c r="V689" s="447">
        <f t="shared" ref="V689:AC689" si="526">IF((V687/V688)&lt;$I$8,(V687/V688),IF((V687/V688)&lt;$J$8,(V687/V688),IF((V687/V688)&lt;$J$8,(V687/V688),IF((V687/V688)&gt;=$J$9,$J$9))))</f>
        <v>0</v>
      </c>
      <c r="W689" s="447">
        <f t="shared" si="526"/>
        <v>0</v>
      </c>
      <c r="X689" s="447">
        <f t="shared" si="526"/>
        <v>0</v>
      </c>
      <c r="Y689" s="447">
        <f t="shared" si="526"/>
        <v>0</v>
      </c>
      <c r="Z689" s="447">
        <f t="shared" si="526"/>
        <v>0</v>
      </c>
      <c r="AA689" s="447">
        <f t="shared" si="526"/>
        <v>0</v>
      </c>
      <c r="AB689" s="447">
        <f t="shared" si="526"/>
        <v>0</v>
      </c>
      <c r="AC689" s="448">
        <f t="shared" si="526"/>
        <v>0</v>
      </c>
      <c r="AD689" s="685"/>
      <c r="AE689" s="685"/>
      <c r="AF689" s="685"/>
      <c r="AG689" s="685"/>
      <c r="AH689" s="683"/>
      <c r="AI689" s="683"/>
      <c r="AJ689" s="672"/>
      <c r="AK689" s="672"/>
      <c r="AL689" s="672"/>
      <c r="AM689" s="672"/>
      <c r="AN689" s="672"/>
      <c r="AO689" s="672"/>
      <c r="AP689" s="672"/>
      <c r="AQ689" s="672"/>
      <c r="AR689" s="672"/>
      <c r="AS689" s="671"/>
      <c r="AT689" s="190" t="s">
        <v>132</v>
      </c>
      <c r="AU689" s="575"/>
      <c r="AV689" s="576"/>
      <c r="AW689" s="576"/>
      <c r="AX689" s="576"/>
      <c r="AY689" s="576"/>
      <c r="AZ689" s="576"/>
      <c r="BA689" s="576"/>
      <c r="BB689" s="577"/>
      <c r="BC689" s="547"/>
      <c r="BD689" s="547"/>
      <c r="BE689" s="117"/>
      <c r="BF689" s="118"/>
    </row>
    <row r="690" spans="1:58" s="120" customFormat="1" ht="36.950000000000003" customHeight="1" x14ac:dyDescent="0.25">
      <c r="A690" s="675"/>
      <c r="B690" s="664"/>
      <c r="C690" s="665">
        <v>3</v>
      </c>
      <c r="D690" s="687"/>
      <c r="E690" s="689"/>
      <c r="F690" s="657"/>
      <c r="G690" s="686"/>
      <c r="H690" s="657"/>
      <c r="I690" s="686"/>
      <c r="J690" s="666">
        <v>0.1</v>
      </c>
      <c r="K690" s="680" t="s">
        <v>1078</v>
      </c>
      <c r="L690" s="677" t="s">
        <v>1079</v>
      </c>
      <c r="M690" s="661" t="str">
        <f t="shared" ref="M690" si="527">CONCATENATE(U690, $U$32, U691)</f>
        <v>(A*0)+(B*25)+(C*50)+(D*75)+(E*100) / N (*)</v>
      </c>
      <c r="N690" s="681" t="s">
        <v>1080</v>
      </c>
      <c r="O690" s="681" t="s">
        <v>1081</v>
      </c>
      <c r="P690" s="679">
        <v>0.08</v>
      </c>
      <c r="Q690" s="679">
        <v>1</v>
      </c>
      <c r="R690" s="657">
        <v>1</v>
      </c>
      <c r="S690" s="657">
        <v>0.75</v>
      </c>
      <c r="T690" s="674" t="s">
        <v>1069</v>
      </c>
      <c r="U690" s="112" t="s">
        <v>1082</v>
      </c>
      <c r="V690" s="135"/>
      <c r="W690" s="135"/>
      <c r="X690" s="135"/>
      <c r="Y690" s="135"/>
      <c r="Z690" s="136"/>
      <c r="AA690" s="136"/>
      <c r="AB690" s="136"/>
      <c r="AC690" s="136"/>
      <c r="AD690" s="685"/>
      <c r="AE690" s="685"/>
      <c r="AF690" s="685"/>
      <c r="AG690" s="685"/>
      <c r="AH690" s="683"/>
      <c r="AI690" s="683"/>
      <c r="AJ690" s="672" t="s">
        <v>94</v>
      </c>
      <c r="AK690" s="672"/>
      <c r="AL690" s="672"/>
      <c r="AM690" s="672"/>
      <c r="AN690" s="672"/>
      <c r="AO690" s="672"/>
      <c r="AP690" s="672" t="s">
        <v>94</v>
      </c>
      <c r="AQ690" s="672"/>
      <c r="AR690" s="672"/>
      <c r="AS690" s="669" t="s">
        <v>94</v>
      </c>
      <c r="AT690" s="190" t="s">
        <v>129</v>
      </c>
      <c r="AU690" s="203">
        <f t="shared" ref="AU690:BB690" si="528">+V692*$J$690</f>
        <v>0</v>
      </c>
      <c r="AV690" s="203">
        <f t="shared" si="528"/>
        <v>0</v>
      </c>
      <c r="AW690" s="203">
        <f t="shared" si="528"/>
        <v>0</v>
      </c>
      <c r="AX690" s="203">
        <f t="shared" si="528"/>
        <v>0</v>
      </c>
      <c r="AY690" s="203">
        <f t="shared" si="528"/>
        <v>0</v>
      </c>
      <c r="AZ690" s="203">
        <f t="shared" si="528"/>
        <v>0</v>
      </c>
      <c r="BA690" s="203">
        <f t="shared" si="528"/>
        <v>0</v>
      </c>
      <c r="BB690" s="204">
        <f t="shared" si="528"/>
        <v>0</v>
      </c>
      <c r="BC690" s="547"/>
      <c r="BD690" s="547"/>
      <c r="BE690" s="117"/>
      <c r="BF690" s="118"/>
    </row>
    <row r="691" spans="1:58" s="120" customFormat="1" ht="36.950000000000003" customHeight="1" x14ac:dyDescent="0.25">
      <c r="A691" s="675"/>
      <c r="B691" s="664"/>
      <c r="C691" s="665"/>
      <c r="D691" s="687"/>
      <c r="E691" s="689"/>
      <c r="F691" s="657"/>
      <c r="G691" s="686"/>
      <c r="H691" s="657"/>
      <c r="I691" s="686"/>
      <c r="J691" s="666"/>
      <c r="K691" s="680"/>
      <c r="L691" s="677"/>
      <c r="M691" s="662"/>
      <c r="N691" s="678"/>
      <c r="O691" s="678"/>
      <c r="P691" s="679"/>
      <c r="Q691" s="679"/>
      <c r="R691" s="657"/>
      <c r="S691" s="657"/>
      <c r="T691" s="674"/>
      <c r="U691" s="300" t="s">
        <v>1083</v>
      </c>
      <c r="V691" s="401">
        <v>1E-4</v>
      </c>
      <c r="W691" s="401">
        <v>0.75</v>
      </c>
      <c r="X691" s="401">
        <v>0.75</v>
      </c>
      <c r="Y691" s="401">
        <v>0.75</v>
      </c>
      <c r="Z691" s="401">
        <f>+V691</f>
        <v>1E-4</v>
      </c>
      <c r="AA691" s="401">
        <v>0.75</v>
      </c>
      <c r="AB691" s="401">
        <v>0.75</v>
      </c>
      <c r="AC691" s="401">
        <v>0.75</v>
      </c>
      <c r="AD691" s="685"/>
      <c r="AE691" s="685"/>
      <c r="AF691" s="685"/>
      <c r="AG691" s="685"/>
      <c r="AH691" s="683"/>
      <c r="AI691" s="683"/>
      <c r="AJ691" s="672"/>
      <c r="AK691" s="672"/>
      <c r="AL691" s="672"/>
      <c r="AM691" s="672"/>
      <c r="AN691" s="672"/>
      <c r="AO691" s="672"/>
      <c r="AP691" s="672"/>
      <c r="AQ691" s="672"/>
      <c r="AR691" s="672"/>
      <c r="AS691" s="670"/>
      <c r="AT691" s="190" t="s">
        <v>131</v>
      </c>
      <c r="AU691" s="575"/>
      <c r="AV691" s="576"/>
      <c r="AW691" s="576"/>
      <c r="AX691" s="576"/>
      <c r="AY691" s="576"/>
      <c r="AZ691" s="576"/>
      <c r="BA691" s="576"/>
      <c r="BB691" s="577"/>
      <c r="BC691" s="547"/>
      <c r="BD691" s="547"/>
      <c r="BE691" s="117"/>
      <c r="BF691" s="118"/>
    </row>
    <row r="692" spans="1:58" s="120" customFormat="1" ht="24.95" customHeight="1" x14ac:dyDescent="0.25">
      <c r="A692" s="675"/>
      <c r="B692" s="664"/>
      <c r="C692" s="665"/>
      <c r="D692" s="687"/>
      <c r="E692" s="689"/>
      <c r="F692" s="657"/>
      <c r="G692" s="686"/>
      <c r="H692" s="657"/>
      <c r="I692" s="686"/>
      <c r="J692" s="666"/>
      <c r="K692" s="680"/>
      <c r="L692" s="677"/>
      <c r="M692" s="663"/>
      <c r="N692" s="678"/>
      <c r="O692" s="678"/>
      <c r="P692" s="679"/>
      <c r="Q692" s="679"/>
      <c r="R692" s="657"/>
      <c r="S692" s="657"/>
      <c r="T692" s="674"/>
      <c r="U692" s="125" t="s">
        <v>96</v>
      </c>
      <c r="V692" s="197">
        <f>IF((V690/V691)&lt;$I$8,(V690/V691),IF((V690/V691)&lt;$J$8,(V690/V691),IF((V690/V691)&lt;$J$9,(V690/V691),IF((V690/V691)&gt;=$J$9,$J$9))))</f>
        <v>0</v>
      </c>
      <c r="W692" s="447">
        <f t="shared" ref="W692:AC692" si="529">IF((W690/W691)&lt;$I$8,(W690/W691),IF((W690/W691)&lt;$J$8,(W690/W691),IF((W690/W691)&lt;$J$8,(W690/W691),IF((W690/W691)&gt;=$J$9,$J$9))))</f>
        <v>0</v>
      </c>
      <c r="X692" s="447">
        <f t="shared" si="529"/>
        <v>0</v>
      </c>
      <c r="Y692" s="447">
        <f t="shared" si="529"/>
        <v>0</v>
      </c>
      <c r="Z692" s="197">
        <f t="shared" si="529"/>
        <v>0</v>
      </c>
      <c r="AA692" s="447">
        <f t="shared" si="529"/>
        <v>0</v>
      </c>
      <c r="AB692" s="447">
        <f t="shared" si="529"/>
        <v>0</v>
      </c>
      <c r="AC692" s="447">
        <f t="shared" si="529"/>
        <v>0</v>
      </c>
      <c r="AD692" s="685"/>
      <c r="AE692" s="685"/>
      <c r="AF692" s="685"/>
      <c r="AG692" s="685"/>
      <c r="AH692" s="683"/>
      <c r="AI692" s="683"/>
      <c r="AJ692" s="672"/>
      <c r="AK692" s="672"/>
      <c r="AL692" s="672"/>
      <c r="AM692" s="672"/>
      <c r="AN692" s="672"/>
      <c r="AO692" s="672"/>
      <c r="AP692" s="672"/>
      <c r="AQ692" s="672"/>
      <c r="AR692" s="672"/>
      <c r="AS692" s="671"/>
      <c r="AT692" s="190" t="s">
        <v>132</v>
      </c>
      <c r="AU692" s="575"/>
      <c r="AV692" s="576"/>
      <c r="AW692" s="576"/>
      <c r="AX692" s="576"/>
      <c r="AY692" s="576"/>
      <c r="AZ692" s="576"/>
      <c r="BA692" s="576"/>
      <c r="BB692" s="577"/>
      <c r="BC692" s="547"/>
      <c r="BD692" s="547"/>
      <c r="BE692" s="117"/>
      <c r="BF692" s="118"/>
    </row>
    <row r="693" spans="1:58" s="120" customFormat="1" ht="30" customHeight="1" x14ac:dyDescent="0.25">
      <c r="A693" s="128"/>
      <c r="B693" s="664"/>
      <c r="C693" s="673">
        <v>4</v>
      </c>
      <c r="D693" s="687"/>
      <c r="E693" s="689"/>
      <c r="F693" s="657"/>
      <c r="G693" s="686"/>
      <c r="H693" s="657">
        <v>0.15</v>
      </c>
      <c r="I693" s="686" t="s">
        <v>1084</v>
      </c>
      <c r="J693" s="666">
        <v>1</v>
      </c>
      <c r="K693" s="680" t="s">
        <v>1085</v>
      </c>
      <c r="L693" s="677" t="s">
        <v>1086</v>
      </c>
      <c r="M693" s="661" t="str">
        <f t="shared" ref="M693" si="530">CONCATENATE(U693, $U$32, U694)</f>
        <v>Asesorías Ejecutadas / Asesorías Programadas</v>
      </c>
      <c r="N693" s="678" t="s">
        <v>1075</v>
      </c>
      <c r="O693" s="678" t="s">
        <v>1087</v>
      </c>
      <c r="P693" s="679">
        <v>0.15</v>
      </c>
      <c r="Q693" s="679">
        <v>1</v>
      </c>
      <c r="R693" s="657">
        <v>1</v>
      </c>
      <c r="S693" s="657">
        <v>1</v>
      </c>
      <c r="T693" s="676" t="s">
        <v>1069</v>
      </c>
      <c r="U693" s="112" t="s">
        <v>1088</v>
      </c>
      <c r="V693" s="129"/>
      <c r="W693" s="129"/>
      <c r="X693" s="129"/>
      <c r="Y693" s="129"/>
      <c r="Z693" s="130"/>
      <c r="AA693" s="130"/>
      <c r="AB693" s="130"/>
      <c r="AC693" s="130"/>
      <c r="AD693" s="685"/>
      <c r="AE693" s="685"/>
      <c r="AF693" s="685"/>
      <c r="AG693" s="685"/>
      <c r="AH693" s="683"/>
      <c r="AI693" s="683"/>
      <c r="AJ693" s="672" t="s">
        <v>94</v>
      </c>
      <c r="AK693" s="669"/>
      <c r="AL693" s="669"/>
      <c r="AM693" s="669"/>
      <c r="AN693" s="669" t="s">
        <v>94</v>
      </c>
      <c r="AO693" s="669"/>
      <c r="AP693" s="669"/>
      <c r="AQ693" s="669" t="s">
        <v>94</v>
      </c>
      <c r="AR693" s="672"/>
      <c r="AS693" s="672"/>
      <c r="AT693" s="190" t="s">
        <v>129</v>
      </c>
      <c r="AU693" s="203">
        <f t="shared" ref="AU693:BB693" si="531">+V695*$J$693</f>
        <v>0</v>
      </c>
      <c r="AV693" s="203">
        <f t="shared" si="531"/>
        <v>0</v>
      </c>
      <c r="AW693" s="203">
        <f t="shared" si="531"/>
        <v>0</v>
      </c>
      <c r="AX693" s="203">
        <f t="shared" si="531"/>
        <v>0</v>
      </c>
      <c r="AY693" s="203">
        <f t="shared" si="531"/>
        <v>0</v>
      </c>
      <c r="AZ693" s="203">
        <f t="shared" si="531"/>
        <v>0</v>
      </c>
      <c r="BA693" s="203">
        <f t="shared" si="531"/>
        <v>0</v>
      </c>
      <c r="BB693" s="203">
        <f t="shared" si="531"/>
        <v>0</v>
      </c>
      <c r="BC693" s="547"/>
      <c r="BD693" s="547"/>
      <c r="BE693" s="117"/>
      <c r="BF693" s="118"/>
    </row>
    <row r="694" spans="1:58" s="120" customFormat="1" ht="30" customHeight="1" x14ac:dyDescent="0.25">
      <c r="A694" s="128"/>
      <c r="B694" s="664"/>
      <c r="C694" s="673"/>
      <c r="D694" s="687"/>
      <c r="E694" s="689"/>
      <c r="F694" s="657"/>
      <c r="G694" s="686"/>
      <c r="H694" s="657"/>
      <c r="I694" s="686"/>
      <c r="J694" s="666"/>
      <c r="K694" s="680"/>
      <c r="L694" s="677"/>
      <c r="M694" s="662"/>
      <c r="N694" s="678"/>
      <c r="O694" s="678"/>
      <c r="P694" s="679"/>
      <c r="Q694" s="679"/>
      <c r="R694" s="657"/>
      <c r="S694" s="657"/>
      <c r="T694" s="676"/>
      <c r="U694" s="300" t="s">
        <v>1089</v>
      </c>
      <c r="V694" s="133">
        <v>0.01</v>
      </c>
      <c r="W694" s="133">
        <v>1</v>
      </c>
      <c r="X694" s="133">
        <v>0.01</v>
      </c>
      <c r="Y694" s="133">
        <v>3</v>
      </c>
      <c r="Z694" s="133">
        <v>0.01</v>
      </c>
      <c r="AA694" s="133">
        <f>+W694</f>
        <v>1</v>
      </c>
      <c r="AB694" s="133">
        <v>0.01</v>
      </c>
      <c r="AC694" s="133">
        <f>+Y694</f>
        <v>3</v>
      </c>
      <c r="AD694" s="685"/>
      <c r="AE694" s="685"/>
      <c r="AF694" s="685"/>
      <c r="AG694" s="685"/>
      <c r="AH694" s="683"/>
      <c r="AI694" s="683"/>
      <c r="AJ694" s="672"/>
      <c r="AK694" s="670"/>
      <c r="AL694" s="670"/>
      <c r="AM694" s="670"/>
      <c r="AN694" s="670"/>
      <c r="AO694" s="670"/>
      <c r="AP694" s="670"/>
      <c r="AQ694" s="670"/>
      <c r="AR694" s="672"/>
      <c r="AS694" s="672"/>
      <c r="AT694" s="190" t="s">
        <v>131</v>
      </c>
      <c r="AU694" s="575"/>
      <c r="AV694" s="576"/>
      <c r="AW694" s="576"/>
      <c r="AX694" s="576"/>
      <c r="AY694" s="576"/>
      <c r="AZ694" s="576"/>
      <c r="BA694" s="576"/>
      <c r="BB694" s="577"/>
      <c r="BC694" s="547"/>
      <c r="BD694" s="547"/>
      <c r="BE694" s="117"/>
      <c r="BF694" s="118"/>
    </row>
    <row r="695" spans="1:58" s="120" customFormat="1" ht="24.95" customHeight="1" x14ac:dyDescent="0.25">
      <c r="A695" s="128"/>
      <c r="B695" s="664"/>
      <c r="C695" s="673"/>
      <c r="D695" s="687"/>
      <c r="E695" s="689"/>
      <c r="F695" s="657"/>
      <c r="G695" s="686"/>
      <c r="H695" s="657"/>
      <c r="I695" s="686"/>
      <c r="J695" s="666"/>
      <c r="K695" s="680"/>
      <c r="L695" s="677"/>
      <c r="M695" s="663"/>
      <c r="N695" s="678"/>
      <c r="O695" s="678"/>
      <c r="P695" s="679"/>
      <c r="Q695" s="679"/>
      <c r="R695" s="657"/>
      <c r="S695" s="657"/>
      <c r="T695" s="676"/>
      <c r="U695" s="125" t="s">
        <v>96</v>
      </c>
      <c r="V695" s="197">
        <f>IF((V693/V694)&lt;$I$8,(V693/V694),IF((V693/V694)&lt;$J$8,(V693/V694),IF((V693/V694)&lt;$J$9,(V693/V694),IF((V693/V694)&gt;=$J$9,$J$9))))</f>
        <v>0</v>
      </c>
      <c r="W695" s="447">
        <f t="shared" ref="W695:AC695" si="532">IF((W693/W694)&lt;$I$8,(W693/W694),IF((W693/W694)&lt;$J$8,(W693/W694),IF((W693/W694)&lt;$J$8,(W693/W694),IF((W693/W694)&gt;=$J$9,$J$9))))</f>
        <v>0</v>
      </c>
      <c r="X695" s="197">
        <f>IF((X693/X694)&lt;$I$8,(X693/X694),IF((X693/X694)&lt;$J$8,(X693/X694),IF((X693/X694)&lt;$J$9,(X693/X694),IF((X693/X694)&gt;=$J$9,$J$9))))</f>
        <v>0</v>
      </c>
      <c r="Y695" s="447">
        <f t="shared" si="532"/>
        <v>0</v>
      </c>
      <c r="Z695" s="197">
        <f>IF((Z693/Z694)&lt;$I$8,(Z693/Z694),IF((Z693/Z694)&lt;$J$8,(Z693/Z694),IF((Z693/Z694)&lt;$J$9,(Z693/Z694),IF((Z693/Z694)&gt;=$J$9,$J$9))))</f>
        <v>0</v>
      </c>
      <c r="AA695" s="447">
        <f t="shared" si="532"/>
        <v>0</v>
      </c>
      <c r="AB695" s="197">
        <f>IF((AB693/AB694)&lt;$I$8,(AB693/AB694),IF((AB693/AB694)&lt;$J$8,(AB693/AB694),IF((AB693/AB694)&lt;$J$9,(AB693/AB694),IF((AB693/AB694)&gt;=$J$9,$J$9))))</f>
        <v>0</v>
      </c>
      <c r="AC695" s="448">
        <f t="shared" si="532"/>
        <v>0</v>
      </c>
      <c r="AD695" s="685"/>
      <c r="AE695" s="685"/>
      <c r="AF695" s="685"/>
      <c r="AG695" s="685"/>
      <c r="AH695" s="683"/>
      <c r="AI695" s="683"/>
      <c r="AJ695" s="672"/>
      <c r="AK695" s="671"/>
      <c r="AL695" s="671"/>
      <c r="AM695" s="671"/>
      <c r="AN695" s="671"/>
      <c r="AO695" s="671"/>
      <c r="AP695" s="671"/>
      <c r="AQ695" s="671"/>
      <c r="AR695" s="672"/>
      <c r="AS695" s="672"/>
      <c r="AT695" s="190" t="s">
        <v>132</v>
      </c>
      <c r="AU695" s="575"/>
      <c r="AV695" s="576"/>
      <c r="AW695" s="576"/>
      <c r="AX695" s="576"/>
      <c r="AY695" s="576"/>
      <c r="AZ695" s="576"/>
      <c r="BA695" s="576"/>
      <c r="BB695" s="577"/>
      <c r="BC695" s="547"/>
      <c r="BD695" s="547"/>
      <c r="BE695" s="117"/>
      <c r="BF695" s="118"/>
    </row>
    <row r="696" spans="1:58" s="120" customFormat="1" ht="39.950000000000003" customHeight="1" x14ac:dyDescent="0.25">
      <c r="A696" s="675"/>
      <c r="B696" s="664"/>
      <c r="C696" s="673">
        <v>5</v>
      </c>
      <c r="D696" s="687"/>
      <c r="E696" s="689"/>
      <c r="F696" s="657"/>
      <c r="G696" s="686"/>
      <c r="H696" s="546">
        <v>0.05</v>
      </c>
      <c r="I696" s="666" t="s">
        <v>338</v>
      </c>
      <c r="J696" s="666">
        <v>1</v>
      </c>
      <c r="K696" s="666" t="s">
        <v>647</v>
      </c>
      <c r="L696" s="666" t="s">
        <v>1090</v>
      </c>
      <c r="M696" s="661" t="str">
        <f t="shared" ref="M696" si="533">CONCATENATE(U696, $U$32, U697)</f>
        <v>No. de Procedimientos revisados  / No. de Procedimientos vigentes programados para revisión</v>
      </c>
      <c r="N696" s="657" t="s">
        <v>1091</v>
      </c>
      <c r="O696" s="657" t="s">
        <v>89</v>
      </c>
      <c r="P696" s="666">
        <v>0.05</v>
      </c>
      <c r="Q696" s="657" t="s">
        <v>90</v>
      </c>
      <c r="R696" s="657">
        <v>1</v>
      </c>
      <c r="S696" s="657">
        <v>1</v>
      </c>
      <c r="T696" s="674" t="s">
        <v>151</v>
      </c>
      <c r="U696" s="112" t="s">
        <v>342</v>
      </c>
      <c r="V696" s="129"/>
      <c r="W696" s="129"/>
      <c r="X696" s="129"/>
      <c r="Y696" s="129"/>
      <c r="Z696" s="130"/>
      <c r="AA696" s="130"/>
      <c r="AB696" s="130"/>
      <c r="AC696" s="130"/>
      <c r="AD696" s="685"/>
      <c r="AE696" s="685"/>
      <c r="AF696" s="685"/>
      <c r="AG696" s="685"/>
      <c r="AH696" s="683"/>
      <c r="AI696" s="683"/>
      <c r="AJ696" s="672" t="s">
        <v>94</v>
      </c>
      <c r="AK696" s="669"/>
      <c r="AL696" s="669"/>
      <c r="AM696" s="669"/>
      <c r="AN696" s="672" t="s">
        <v>94</v>
      </c>
      <c r="AO696" s="669"/>
      <c r="AP696" s="669"/>
      <c r="AQ696" s="669" t="s">
        <v>94</v>
      </c>
      <c r="AR696" s="672"/>
      <c r="AS696" s="672"/>
      <c r="AT696" s="190" t="s">
        <v>129</v>
      </c>
      <c r="AU696" s="203">
        <f t="shared" ref="AU696:BB696" si="534">+V698*$J$696</f>
        <v>0</v>
      </c>
      <c r="AV696" s="203">
        <f t="shared" si="534"/>
        <v>0</v>
      </c>
      <c r="AW696" s="203">
        <f t="shared" si="534"/>
        <v>0</v>
      </c>
      <c r="AX696" s="203">
        <f t="shared" si="534"/>
        <v>0</v>
      </c>
      <c r="AY696" s="203">
        <f t="shared" si="534"/>
        <v>0</v>
      </c>
      <c r="AZ696" s="203">
        <f t="shared" si="534"/>
        <v>0</v>
      </c>
      <c r="BA696" s="203">
        <f t="shared" si="534"/>
        <v>0</v>
      </c>
      <c r="BB696" s="204">
        <f t="shared" si="534"/>
        <v>0</v>
      </c>
      <c r="BC696" s="547"/>
      <c r="BD696" s="547"/>
      <c r="BE696" s="117"/>
      <c r="BF696" s="118"/>
    </row>
    <row r="697" spans="1:58" s="120" customFormat="1" ht="39.950000000000003" customHeight="1" x14ac:dyDescent="0.25">
      <c r="A697" s="675"/>
      <c r="B697" s="664"/>
      <c r="C697" s="673"/>
      <c r="D697" s="687"/>
      <c r="E697" s="689"/>
      <c r="F697" s="657"/>
      <c r="G697" s="686"/>
      <c r="H697" s="547"/>
      <c r="I697" s="666"/>
      <c r="J697" s="666"/>
      <c r="K697" s="666"/>
      <c r="L697" s="666"/>
      <c r="M697" s="662"/>
      <c r="N697" s="657"/>
      <c r="O697" s="657"/>
      <c r="P697" s="666"/>
      <c r="Q697" s="657"/>
      <c r="R697" s="657"/>
      <c r="S697" s="657"/>
      <c r="T697" s="674"/>
      <c r="U697" s="311" t="s">
        <v>345</v>
      </c>
      <c r="V697" s="133">
        <v>0.01</v>
      </c>
      <c r="W697" s="133">
        <v>5</v>
      </c>
      <c r="X697" s="133">
        <v>0.01</v>
      </c>
      <c r="Y697" s="133">
        <v>0.01</v>
      </c>
      <c r="Z697" s="133">
        <v>0.01</v>
      </c>
      <c r="AA697" s="133">
        <f>+W697</f>
        <v>5</v>
      </c>
      <c r="AB697" s="133">
        <f>+AA697</f>
        <v>5</v>
      </c>
      <c r="AC697" s="133">
        <f>+AB697</f>
        <v>5</v>
      </c>
      <c r="AD697" s="685"/>
      <c r="AE697" s="685"/>
      <c r="AF697" s="685"/>
      <c r="AG697" s="685"/>
      <c r="AH697" s="683"/>
      <c r="AI697" s="683"/>
      <c r="AJ697" s="672"/>
      <c r="AK697" s="670"/>
      <c r="AL697" s="670"/>
      <c r="AM697" s="670"/>
      <c r="AN697" s="672"/>
      <c r="AO697" s="670"/>
      <c r="AP697" s="670"/>
      <c r="AQ697" s="670"/>
      <c r="AR697" s="672"/>
      <c r="AS697" s="672"/>
      <c r="AT697" s="190" t="s">
        <v>131</v>
      </c>
      <c r="AU697" s="575"/>
      <c r="AV697" s="576"/>
      <c r="AW697" s="576"/>
      <c r="AX697" s="576"/>
      <c r="AY697" s="576"/>
      <c r="AZ697" s="576"/>
      <c r="BA697" s="576"/>
      <c r="BB697" s="577"/>
      <c r="BC697" s="547"/>
      <c r="BD697" s="547"/>
      <c r="BE697" s="117"/>
      <c r="BF697" s="118"/>
    </row>
    <row r="698" spans="1:58" s="120" customFormat="1" ht="24.95" customHeight="1" x14ac:dyDescent="0.25">
      <c r="A698" s="675"/>
      <c r="B698" s="664"/>
      <c r="C698" s="673"/>
      <c r="D698" s="687"/>
      <c r="E698" s="689"/>
      <c r="F698" s="657"/>
      <c r="G698" s="686"/>
      <c r="H698" s="548"/>
      <c r="I698" s="666"/>
      <c r="J698" s="666"/>
      <c r="K698" s="666"/>
      <c r="L698" s="666"/>
      <c r="M698" s="663"/>
      <c r="N698" s="657"/>
      <c r="O698" s="657"/>
      <c r="P698" s="666"/>
      <c r="Q698" s="657"/>
      <c r="R698" s="657"/>
      <c r="S698" s="657"/>
      <c r="T698" s="674"/>
      <c r="U698" s="125" t="s">
        <v>96</v>
      </c>
      <c r="V698" s="197">
        <f>IF((V696/V697)&lt;$I$8,(V696/V697),IF((V696/V697)&lt;$J$8,(V696/V697),IF((V696/V697)&lt;$J$9,(V696/V697),IF((V696/V697)&gt;=$J$9,$J$9))))</f>
        <v>0</v>
      </c>
      <c r="W698" s="447">
        <f>IF((W696/W697)&lt;$I$8,(W696/W697),IF((W696/W697)&lt;$J$8,(W696/W697),IF((W696/W697)&lt;$J$8,(W696/W697),IF((W696/W697)&gt;=$J$9,$J$9))))</f>
        <v>0</v>
      </c>
      <c r="X698" s="197">
        <f>IF((X696/X697)&lt;$I$8,(X696/X697),IF((X696/X697)&lt;$J$8,(X696/X697),IF((X696/X697)&lt;$J$9,(X696/X697),IF((X696/X697)&gt;=$J$9,$J$9))))</f>
        <v>0</v>
      </c>
      <c r="Y698" s="197">
        <f>IF((Y696/Y697)&lt;$I$8,(Y696/Y697),IF((Y696/Y697)&lt;$J$8,(Y696/Y697),IF((Y696/Y697)&lt;$J$9,(Y696/Y697),IF((Y696/Y697)&gt;=$J$9,$J$9))))</f>
        <v>0</v>
      </c>
      <c r="Z698" s="197">
        <f>IF((Z696/Z697)&lt;$I$8,(Z696/Z697),IF((Z696/Z697)&lt;$J$8,(Z696/Z697),IF((Z696/Z697)&lt;$J$9,(Z696/Z697),IF((Z696/Z697)&gt;=$J$9,$J$9))))</f>
        <v>0</v>
      </c>
      <c r="AA698" s="447">
        <f>IF((AA696/AA697)&lt;$I$8,(AA696/AA697),IF((AA696/AA697)&lt;$J$8,(AA696/AA697),IF((AA696/AA697)&lt;$J$8,(AA696/AA697),IF((AA696/AA697)&gt;=$J$9,$J$9))))</f>
        <v>0</v>
      </c>
      <c r="AB698" s="197">
        <f>IF((AB696/AB697)&lt;$I$8,(AB696/AB697),IF((AB696/AB697)&lt;$J$8,(AB696/AB697),IF((AB696/AB697)&lt;$J$9,(AB696/AB697),IF((AB696/AB697)&gt;=$J$9,$J$9))))</f>
        <v>0</v>
      </c>
      <c r="AC698" s="197">
        <f>IF((AC696/AC697)&lt;$I$8,(AC696/AC697),IF((AC696/AC697)&lt;$J$8,(AC696/AC697),IF((AC696/AC697)&lt;$J$9,(AC696/AC697),IF((AC696/AC697)&gt;=$J$9,$J$9))))</f>
        <v>0</v>
      </c>
      <c r="AD698" s="685"/>
      <c r="AE698" s="685"/>
      <c r="AF698" s="685"/>
      <c r="AG698" s="685"/>
      <c r="AH698" s="684"/>
      <c r="AI698" s="684"/>
      <c r="AJ698" s="672"/>
      <c r="AK698" s="671"/>
      <c r="AL698" s="671"/>
      <c r="AM698" s="671"/>
      <c r="AN698" s="672"/>
      <c r="AO698" s="671"/>
      <c r="AP698" s="671"/>
      <c r="AQ698" s="671"/>
      <c r="AR698" s="672"/>
      <c r="AS698" s="672"/>
      <c r="AT698" s="190" t="s">
        <v>132</v>
      </c>
      <c r="AU698" s="575"/>
      <c r="AV698" s="576"/>
      <c r="AW698" s="576"/>
      <c r="AX698" s="576"/>
      <c r="AY698" s="576"/>
      <c r="AZ698" s="576"/>
      <c r="BA698" s="576"/>
      <c r="BB698" s="577"/>
      <c r="BC698" s="547"/>
      <c r="BD698" s="547"/>
      <c r="BE698" s="117"/>
      <c r="BF698" s="118"/>
    </row>
    <row r="699" spans="1:58" s="120" customFormat="1" ht="30" customHeight="1" x14ac:dyDescent="0.25">
      <c r="A699" s="128"/>
      <c r="B699" s="664"/>
      <c r="C699" s="673">
        <v>6</v>
      </c>
      <c r="D699" s="687"/>
      <c r="E699" s="689"/>
      <c r="F699" s="666">
        <v>0.35</v>
      </c>
      <c r="G699" s="666" t="s">
        <v>1092</v>
      </c>
      <c r="H699" s="654">
        <v>0.7</v>
      </c>
      <c r="I699" s="661" t="s">
        <v>1093</v>
      </c>
      <c r="J699" s="654">
        <v>0.4</v>
      </c>
      <c r="K699" s="654" t="s">
        <v>1094</v>
      </c>
      <c r="L699" s="654" t="s">
        <v>1095</v>
      </c>
      <c r="M699" s="661" t="str">
        <f t="shared" ref="M699" si="535">CONCATENATE(U699, $U$32, U700)</f>
        <v>Procedimientos revisados y actualizados / Procediminetos programados</v>
      </c>
      <c r="N699" s="661" t="s">
        <v>1096</v>
      </c>
      <c r="O699" s="661" t="s">
        <v>89</v>
      </c>
      <c r="P699" s="657">
        <v>0.1</v>
      </c>
      <c r="Q699" s="657">
        <v>0</v>
      </c>
      <c r="R699" s="657">
        <v>1</v>
      </c>
      <c r="S699" s="657">
        <v>1</v>
      </c>
      <c r="T699" s="658" t="s">
        <v>151</v>
      </c>
      <c r="U699" s="112" t="s">
        <v>1097</v>
      </c>
      <c r="V699" s="129"/>
      <c r="W699" s="129"/>
      <c r="X699" s="129"/>
      <c r="Y699" s="129"/>
      <c r="Z699" s="130"/>
      <c r="AA699" s="130"/>
      <c r="AB699" s="130"/>
      <c r="AC699" s="130"/>
      <c r="AD699" s="648">
        <f>AE699+AF699+AG699</f>
        <v>0</v>
      </c>
      <c r="AE699" s="651">
        <v>0</v>
      </c>
      <c r="AF699" s="651">
        <v>0</v>
      </c>
      <c r="AG699" s="651">
        <v>0</v>
      </c>
      <c r="AH699" s="669" t="s">
        <v>128</v>
      </c>
      <c r="AI699" s="669" t="s">
        <v>128</v>
      </c>
      <c r="AJ699" s="651" t="s">
        <v>94</v>
      </c>
      <c r="AK699" s="651"/>
      <c r="AL699" s="651"/>
      <c r="AM699" s="651"/>
      <c r="AN699" s="651"/>
      <c r="AO699" s="651" t="s">
        <v>94</v>
      </c>
      <c r="AP699" s="648"/>
      <c r="AQ699" s="651" t="s">
        <v>94</v>
      </c>
      <c r="AR699" s="651"/>
      <c r="AS699" s="648"/>
      <c r="AT699" s="190" t="s">
        <v>129</v>
      </c>
      <c r="AU699" s="203">
        <f t="shared" ref="AU699:BB699" si="536">+V701*$J$699</f>
        <v>0</v>
      </c>
      <c r="AV699" s="203">
        <f t="shared" si="536"/>
        <v>0</v>
      </c>
      <c r="AW699" s="203">
        <f t="shared" si="536"/>
        <v>0</v>
      </c>
      <c r="AX699" s="203">
        <f t="shared" si="536"/>
        <v>0</v>
      </c>
      <c r="AY699" s="203">
        <f t="shared" si="536"/>
        <v>0</v>
      </c>
      <c r="AZ699" s="203">
        <f t="shared" si="536"/>
        <v>0</v>
      </c>
      <c r="BA699" s="203">
        <f t="shared" si="536"/>
        <v>0</v>
      </c>
      <c r="BB699" s="204">
        <f t="shared" si="536"/>
        <v>0</v>
      </c>
      <c r="BC699" s="547"/>
      <c r="BD699" s="547"/>
      <c r="BE699" s="117"/>
      <c r="BF699" s="118"/>
    </row>
    <row r="700" spans="1:58" s="120" customFormat="1" ht="30" customHeight="1" x14ac:dyDescent="0.25">
      <c r="A700" s="128"/>
      <c r="B700" s="664"/>
      <c r="C700" s="673"/>
      <c r="D700" s="687"/>
      <c r="E700" s="689"/>
      <c r="F700" s="666"/>
      <c r="G700" s="666"/>
      <c r="H700" s="655"/>
      <c r="I700" s="662"/>
      <c r="J700" s="655"/>
      <c r="K700" s="655"/>
      <c r="L700" s="655"/>
      <c r="M700" s="662"/>
      <c r="N700" s="662"/>
      <c r="O700" s="662"/>
      <c r="P700" s="657"/>
      <c r="Q700" s="657"/>
      <c r="R700" s="657"/>
      <c r="S700" s="657"/>
      <c r="T700" s="659"/>
      <c r="U700" s="121" t="s">
        <v>1098</v>
      </c>
      <c r="V700" s="133">
        <v>0.01</v>
      </c>
      <c r="W700" s="122">
        <v>7</v>
      </c>
      <c r="X700" s="133">
        <v>0.01</v>
      </c>
      <c r="Y700" s="133">
        <v>0.01</v>
      </c>
      <c r="Z700" s="133">
        <v>0.01</v>
      </c>
      <c r="AA700" s="122">
        <f>+W700</f>
        <v>7</v>
      </c>
      <c r="AB700" s="133">
        <f>+W700</f>
        <v>7</v>
      </c>
      <c r="AC700" s="133">
        <f>+W700</f>
        <v>7</v>
      </c>
      <c r="AD700" s="649"/>
      <c r="AE700" s="652"/>
      <c r="AF700" s="652"/>
      <c r="AG700" s="652"/>
      <c r="AH700" s="670"/>
      <c r="AI700" s="670"/>
      <c r="AJ700" s="652"/>
      <c r="AK700" s="652"/>
      <c r="AL700" s="652"/>
      <c r="AM700" s="652"/>
      <c r="AN700" s="652"/>
      <c r="AO700" s="652"/>
      <c r="AP700" s="649"/>
      <c r="AQ700" s="652"/>
      <c r="AR700" s="652"/>
      <c r="AS700" s="649"/>
      <c r="AT700" s="190" t="s">
        <v>131</v>
      </c>
      <c r="AU700" s="203">
        <f t="shared" ref="AU700:BB700" si="537">+((AU699+AU702)*$H$699)+(AU705*$H$705)</f>
        <v>0</v>
      </c>
      <c r="AV700" s="203">
        <f t="shared" si="537"/>
        <v>0</v>
      </c>
      <c r="AW700" s="203">
        <f t="shared" si="537"/>
        <v>0</v>
      </c>
      <c r="AX700" s="203">
        <f t="shared" si="537"/>
        <v>0</v>
      </c>
      <c r="AY700" s="203">
        <f t="shared" si="537"/>
        <v>0</v>
      </c>
      <c r="AZ700" s="203">
        <f t="shared" si="537"/>
        <v>0</v>
      </c>
      <c r="BA700" s="203">
        <f t="shared" si="537"/>
        <v>0</v>
      </c>
      <c r="BB700" s="204">
        <f t="shared" si="537"/>
        <v>0</v>
      </c>
      <c r="BC700" s="547"/>
      <c r="BD700" s="547"/>
      <c r="BE700" s="117"/>
      <c r="BF700" s="118"/>
    </row>
    <row r="701" spans="1:58" s="120" customFormat="1" ht="24.95" customHeight="1" x14ac:dyDescent="0.25">
      <c r="A701" s="128"/>
      <c r="B701" s="664"/>
      <c r="C701" s="673"/>
      <c r="D701" s="687"/>
      <c r="E701" s="689"/>
      <c r="F701" s="666"/>
      <c r="G701" s="666"/>
      <c r="H701" s="655"/>
      <c r="I701" s="662"/>
      <c r="J701" s="656"/>
      <c r="K701" s="656"/>
      <c r="L701" s="656"/>
      <c r="M701" s="663"/>
      <c r="N701" s="663"/>
      <c r="O701" s="663"/>
      <c r="P701" s="657"/>
      <c r="Q701" s="657"/>
      <c r="R701" s="657"/>
      <c r="S701" s="657"/>
      <c r="T701" s="660"/>
      <c r="U701" s="125" t="s">
        <v>96</v>
      </c>
      <c r="V701" s="197">
        <f>IF((V699/V700)&lt;$I$8,(V699/V700),IF((V699/V700)&lt;$J$8,(V699/V700),IF((V699/V700)&lt;$J$9,(V699/V700),IF((V699/V700)&gt;=$J$9,$J$9))))</f>
        <v>0</v>
      </c>
      <c r="W701" s="447">
        <f>IF((W699/W700)&lt;$I$8,(W699/W700),IF((W699/W700)&lt;$J$8,(W699/W700),IF((W699/W700)&lt;$J$8,(W699/W700),IF((W699/W700)&gt;=$J$9,$J$9))))</f>
        <v>0</v>
      </c>
      <c r="X701" s="197">
        <f>IF((X699/X700)&lt;$I$8,(X699/X700),IF((X699/X700)&lt;$J$8,(X699/X700),IF((X699/X700)&lt;$J$9,(X699/X700),IF((X699/X700)&gt;=$J$9,$J$9))))</f>
        <v>0</v>
      </c>
      <c r="Y701" s="197">
        <f>IF((Y699/Y700)&lt;$I$8,(Y699/Y700),IF((Y699/Y700)&lt;$J$8,(Y699/Y700),IF((Y699/Y700)&lt;$J$9,(Y699/Y700),IF((Y699/Y700)&gt;=$J$9,$J$9))))</f>
        <v>0</v>
      </c>
      <c r="Z701" s="197">
        <f>IF((Z699/Z700)&lt;$I$8,(Z699/Z700),IF((Z699/Z700)&lt;$J$8,(Z699/Z700),IF((Z699/Z700)&lt;$J$9,(Z699/Z700),IF((Z699/Z700)&gt;=$J$9,$J$9))))</f>
        <v>0</v>
      </c>
      <c r="AA701" s="447">
        <f>IF((AA699/AA700)&lt;$I$8,(AA699/AA700),IF((AA699/AA700)&lt;$J$8,(AA699/AA700),IF((AA699/AA700)&lt;$J$8,(AA699/AA700),IF((AA699/AA700)&gt;=$J$9,$J$9))))</f>
        <v>0</v>
      </c>
      <c r="AB701" s="197">
        <f>IF((AB699/AB700)&lt;$I$8,(AB699/AB700),IF((AB699/AB700)&lt;$J$8,(AB699/AB700),IF((AB699/AB700)&lt;$J$9,(AB699/AB700),IF((AB699/AB700)&gt;=$J$9,$J$9))))</f>
        <v>0</v>
      </c>
      <c r="AC701" s="197">
        <f>IF((AC699/AC700)&lt;$I$8,(AC699/AC700),IF((AC699/AC700)&lt;$J$8,(AC699/AC700),IF((AC699/AC700)&lt;$J$9,(AC699/AC700),IF((AC699/AC700)&gt;=$J$9,$J$9))))</f>
        <v>0</v>
      </c>
      <c r="AD701" s="650"/>
      <c r="AE701" s="653"/>
      <c r="AF701" s="653"/>
      <c r="AG701" s="653"/>
      <c r="AH701" s="670"/>
      <c r="AI701" s="670"/>
      <c r="AJ701" s="653"/>
      <c r="AK701" s="653"/>
      <c r="AL701" s="653"/>
      <c r="AM701" s="653"/>
      <c r="AN701" s="653"/>
      <c r="AO701" s="653"/>
      <c r="AP701" s="650"/>
      <c r="AQ701" s="653"/>
      <c r="AR701" s="653"/>
      <c r="AS701" s="650"/>
      <c r="AT701" s="190" t="s">
        <v>132</v>
      </c>
      <c r="AU701" s="575"/>
      <c r="AV701" s="576"/>
      <c r="AW701" s="576"/>
      <c r="AX701" s="576"/>
      <c r="AY701" s="576"/>
      <c r="AZ701" s="576"/>
      <c r="BA701" s="576"/>
      <c r="BB701" s="577"/>
      <c r="BC701" s="547"/>
      <c r="BD701" s="547"/>
      <c r="BE701" s="117"/>
      <c r="BF701" s="118"/>
    </row>
    <row r="702" spans="1:58" s="120" customFormat="1" ht="26.25" customHeight="1" x14ac:dyDescent="0.25">
      <c r="A702" s="668" t="s">
        <v>230</v>
      </c>
      <c r="B702" s="664"/>
      <c r="C702" s="665">
        <v>7</v>
      </c>
      <c r="D702" s="687"/>
      <c r="E702" s="689"/>
      <c r="F702" s="666"/>
      <c r="G702" s="666"/>
      <c r="H702" s="655"/>
      <c r="I702" s="662"/>
      <c r="J702" s="654">
        <v>0.6</v>
      </c>
      <c r="K702" s="654" t="s">
        <v>1099</v>
      </c>
      <c r="L702" s="546" t="s">
        <v>1100</v>
      </c>
      <c r="M702" s="661" t="str">
        <f t="shared" ref="M702" si="538">CONCATENATE(U702, $U$32, U703)</f>
        <v>Plan de Trabajo ejecutado / Plan de Trabajo programado</v>
      </c>
      <c r="N702" s="661" t="s">
        <v>1101</v>
      </c>
      <c r="O702" s="661" t="s">
        <v>89</v>
      </c>
      <c r="P702" s="657">
        <v>0.2</v>
      </c>
      <c r="Q702" s="657">
        <v>0.46</v>
      </c>
      <c r="R702" s="657">
        <v>1</v>
      </c>
      <c r="S702" s="657">
        <v>0.54</v>
      </c>
      <c r="T702" s="658" t="s">
        <v>151</v>
      </c>
      <c r="U702" s="112" t="s">
        <v>1102</v>
      </c>
      <c r="V702" s="129"/>
      <c r="W702" s="129"/>
      <c r="X702" s="135"/>
      <c r="Y702" s="135"/>
      <c r="Z702" s="130"/>
      <c r="AA702" s="130"/>
      <c r="AB702" s="130"/>
      <c r="AC702" s="130"/>
      <c r="AD702" s="648">
        <f>AE702+AF702+AG702</f>
        <v>460000000</v>
      </c>
      <c r="AE702" s="651">
        <v>0</v>
      </c>
      <c r="AF702" s="651">
        <f>460000000</f>
        <v>460000000</v>
      </c>
      <c r="AG702" s="651">
        <v>0</v>
      </c>
      <c r="AH702" s="670"/>
      <c r="AI702" s="670"/>
      <c r="AJ702" s="651" t="s">
        <v>94</v>
      </c>
      <c r="AK702" s="651"/>
      <c r="AL702" s="651"/>
      <c r="AM702" s="651" t="s">
        <v>94</v>
      </c>
      <c r="AN702" s="651" t="s">
        <v>94</v>
      </c>
      <c r="AO702" s="648"/>
      <c r="AP702" s="651"/>
      <c r="AQ702" s="651" t="s">
        <v>94</v>
      </c>
      <c r="AR702" s="651"/>
      <c r="AS702" s="648"/>
      <c r="AT702" s="190" t="s">
        <v>129</v>
      </c>
      <c r="AU702" s="203">
        <f t="shared" ref="AU702:BB702" si="539">+V704*$J$702</f>
        <v>0</v>
      </c>
      <c r="AV702" s="203">
        <f t="shared" si="539"/>
        <v>0</v>
      </c>
      <c r="AW702" s="203">
        <f t="shared" si="539"/>
        <v>0</v>
      </c>
      <c r="AX702" s="203">
        <f t="shared" si="539"/>
        <v>0</v>
      </c>
      <c r="AY702" s="203">
        <f t="shared" si="539"/>
        <v>0</v>
      </c>
      <c r="AZ702" s="203">
        <f t="shared" si="539"/>
        <v>0</v>
      </c>
      <c r="BA702" s="203">
        <f t="shared" si="539"/>
        <v>0</v>
      </c>
      <c r="BB702" s="204">
        <f t="shared" si="539"/>
        <v>0</v>
      </c>
      <c r="BC702" s="547"/>
      <c r="BD702" s="547"/>
      <c r="BE702" s="117"/>
      <c r="BF702" s="118"/>
    </row>
    <row r="703" spans="1:58" s="120" customFormat="1" ht="26.25" customHeight="1" x14ac:dyDescent="0.25">
      <c r="A703" s="668"/>
      <c r="B703" s="664"/>
      <c r="C703" s="665"/>
      <c r="D703" s="687"/>
      <c r="E703" s="689"/>
      <c r="F703" s="666"/>
      <c r="G703" s="666"/>
      <c r="H703" s="655"/>
      <c r="I703" s="662"/>
      <c r="J703" s="655"/>
      <c r="K703" s="655"/>
      <c r="L703" s="547"/>
      <c r="M703" s="662"/>
      <c r="N703" s="662"/>
      <c r="O703" s="662"/>
      <c r="P703" s="657"/>
      <c r="Q703" s="657"/>
      <c r="R703" s="657"/>
      <c r="S703" s="657"/>
      <c r="T703" s="659"/>
      <c r="U703" s="121" t="s">
        <v>1103</v>
      </c>
      <c r="V703" s="122">
        <v>4</v>
      </c>
      <c r="W703" s="122">
        <v>19</v>
      </c>
      <c r="X703" s="449">
        <v>16</v>
      </c>
      <c r="Y703" s="449">
        <v>15</v>
      </c>
      <c r="Z703" s="122">
        <f>+V703</f>
        <v>4</v>
      </c>
      <c r="AA703" s="122">
        <v>0.23</v>
      </c>
      <c r="AB703" s="122">
        <f>+V703+W703+X703</f>
        <v>39</v>
      </c>
      <c r="AC703" s="122">
        <f>+V703+W703+X703+Y703</f>
        <v>54</v>
      </c>
      <c r="AD703" s="649"/>
      <c r="AE703" s="652"/>
      <c r="AF703" s="652"/>
      <c r="AG703" s="652"/>
      <c r="AH703" s="670"/>
      <c r="AI703" s="670"/>
      <c r="AJ703" s="652"/>
      <c r="AK703" s="652"/>
      <c r="AL703" s="652"/>
      <c r="AM703" s="652"/>
      <c r="AN703" s="652"/>
      <c r="AO703" s="649"/>
      <c r="AP703" s="652"/>
      <c r="AQ703" s="652"/>
      <c r="AR703" s="652"/>
      <c r="AS703" s="649"/>
      <c r="AT703" s="190" t="s">
        <v>131</v>
      </c>
      <c r="AU703" s="575"/>
      <c r="AV703" s="576"/>
      <c r="AW703" s="576"/>
      <c r="AX703" s="576"/>
      <c r="AY703" s="576"/>
      <c r="AZ703" s="576"/>
      <c r="BA703" s="576"/>
      <c r="BB703" s="577"/>
      <c r="BC703" s="547"/>
      <c r="BD703" s="547"/>
      <c r="BE703" s="117"/>
      <c r="BF703" s="118"/>
    </row>
    <row r="704" spans="1:58" s="120" customFormat="1" ht="24.95" customHeight="1" x14ac:dyDescent="0.25">
      <c r="A704" s="668"/>
      <c r="B704" s="664"/>
      <c r="C704" s="665"/>
      <c r="D704" s="687"/>
      <c r="E704" s="689"/>
      <c r="F704" s="666"/>
      <c r="G704" s="666"/>
      <c r="H704" s="656"/>
      <c r="I704" s="663"/>
      <c r="J704" s="655"/>
      <c r="K704" s="656"/>
      <c r="L704" s="548"/>
      <c r="M704" s="663"/>
      <c r="N704" s="663"/>
      <c r="O704" s="663"/>
      <c r="P704" s="657"/>
      <c r="Q704" s="657"/>
      <c r="R704" s="657"/>
      <c r="S704" s="657"/>
      <c r="T704" s="660"/>
      <c r="U704" s="125" t="s">
        <v>96</v>
      </c>
      <c r="V704" s="447">
        <f t="shared" ref="V704:AC704" si="540">IF((V702/V703)&lt;$I$8,(V702/V703),IF((V702/V703)&lt;$J$8,(V702/V703),IF((V702/V703)&lt;$J$8,(V702/V703),IF((V702/V703)&gt;=$J$9,$J$9))))</f>
        <v>0</v>
      </c>
      <c r="W704" s="447">
        <f t="shared" si="540"/>
        <v>0</v>
      </c>
      <c r="X704" s="447">
        <f t="shared" si="540"/>
        <v>0</v>
      </c>
      <c r="Y704" s="447">
        <f t="shared" si="540"/>
        <v>0</v>
      </c>
      <c r="Z704" s="447">
        <f t="shared" si="540"/>
        <v>0</v>
      </c>
      <c r="AA704" s="447">
        <f t="shared" si="540"/>
        <v>0</v>
      </c>
      <c r="AB704" s="447">
        <f t="shared" si="540"/>
        <v>0</v>
      </c>
      <c r="AC704" s="447">
        <f t="shared" si="540"/>
        <v>0</v>
      </c>
      <c r="AD704" s="650"/>
      <c r="AE704" s="653"/>
      <c r="AF704" s="653"/>
      <c r="AG704" s="653"/>
      <c r="AH704" s="670"/>
      <c r="AI704" s="670"/>
      <c r="AJ704" s="653"/>
      <c r="AK704" s="653"/>
      <c r="AL704" s="653"/>
      <c r="AM704" s="653"/>
      <c r="AN704" s="653"/>
      <c r="AO704" s="650"/>
      <c r="AP704" s="653"/>
      <c r="AQ704" s="653"/>
      <c r="AR704" s="653"/>
      <c r="AS704" s="650"/>
      <c r="AT704" s="190" t="s">
        <v>132</v>
      </c>
      <c r="AU704" s="575"/>
      <c r="AV704" s="576"/>
      <c r="AW704" s="576"/>
      <c r="AX704" s="576"/>
      <c r="AY704" s="576"/>
      <c r="AZ704" s="576"/>
      <c r="BA704" s="576"/>
      <c r="BB704" s="577"/>
      <c r="BC704" s="547"/>
      <c r="BD704" s="547"/>
      <c r="BE704" s="117"/>
      <c r="BF704" s="118"/>
    </row>
    <row r="705" spans="1:58" s="120" customFormat="1" ht="30" customHeight="1" x14ac:dyDescent="0.25">
      <c r="A705" s="128"/>
      <c r="B705" s="664"/>
      <c r="C705" s="665">
        <v>8</v>
      </c>
      <c r="D705" s="687"/>
      <c r="E705" s="689"/>
      <c r="F705" s="666"/>
      <c r="G705" s="666"/>
      <c r="H705" s="666">
        <v>0.3</v>
      </c>
      <c r="I705" s="667" t="s">
        <v>1104</v>
      </c>
      <c r="J705" s="654">
        <v>1</v>
      </c>
      <c r="K705" s="654" t="s">
        <v>1105</v>
      </c>
      <c r="L705" s="654" t="s">
        <v>1106</v>
      </c>
      <c r="M705" s="661" t="str">
        <f t="shared" ref="M705" si="541">CONCATENATE(U705, $U$32, U706)</f>
        <v>No. de verificaciones de indicadores realizadas / No. de verificaciones programadas</v>
      </c>
      <c r="N705" s="661" t="s">
        <v>1107</v>
      </c>
      <c r="O705" s="661" t="s">
        <v>143</v>
      </c>
      <c r="P705" s="657">
        <v>0.05</v>
      </c>
      <c r="Q705" s="657">
        <v>1</v>
      </c>
      <c r="R705" s="657">
        <v>1</v>
      </c>
      <c r="S705" s="657">
        <v>1</v>
      </c>
      <c r="T705" s="658" t="s">
        <v>151</v>
      </c>
      <c r="U705" s="129" t="s">
        <v>1108</v>
      </c>
      <c r="V705" s="129"/>
      <c r="W705" s="129"/>
      <c r="X705" s="129"/>
      <c r="Y705" s="129"/>
      <c r="Z705" s="130"/>
      <c r="AA705" s="130"/>
      <c r="AB705" s="130"/>
      <c r="AC705" s="130"/>
      <c r="AD705" s="648">
        <f>AE705+AF705+AG705</f>
        <v>0</v>
      </c>
      <c r="AE705" s="651">
        <v>0</v>
      </c>
      <c r="AF705" s="651">
        <v>0</v>
      </c>
      <c r="AG705" s="651">
        <v>0</v>
      </c>
      <c r="AH705" s="670"/>
      <c r="AI705" s="670"/>
      <c r="AJ705" s="651" t="s">
        <v>94</v>
      </c>
      <c r="AK705" s="651"/>
      <c r="AL705" s="651"/>
      <c r="AM705" s="651"/>
      <c r="AN705" s="651" t="s">
        <v>94</v>
      </c>
      <c r="AO705" s="648"/>
      <c r="AP705" s="648"/>
      <c r="AQ705" s="651" t="s">
        <v>94</v>
      </c>
      <c r="AR705" s="651"/>
      <c r="AS705" s="648"/>
      <c r="AT705" s="190" t="s">
        <v>129</v>
      </c>
      <c r="AU705" s="203">
        <f t="shared" ref="AU705:BB705" si="542">+V707*$J$705</f>
        <v>0</v>
      </c>
      <c r="AV705" s="203">
        <f t="shared" si="542"/>
        <v>0</v>
      </c>
      <c r="AW705" s="203">
        <f t="shared" si="542"/>
        <v>0</v>
      </c>
      <c r="AX705" s="203">
        <f t="shared" si="542"/>
        <v>0</v>
      </c>
      <c r="AY705" s="203">
        <f t="shared" si="542"/>
        <v>0</v>
      </c>
      <c r="AZ705" s="203">
        <f t="shared" si="542"/>
        <v>0</v>
      </c>
      <c r="BA705" s="203">
        <f t="shared" si="542"/>
        <v>0</v>
      </c>
      <c r="BB705" s="204">
        <f t="shared" si="542"/>
        <v>0</v>
      </c>
      <c r="BC705" s="547"/>
      <c r="BD705" s="547"/>
      <c r="BE705" s="117"/>
      <c r="BF705" s="118"/>
    </row>
    <row r="706" spans="1:58" s="120" customFormat="1" ht="30" customHeight="1" x14ac:dyDescent="0.25">
      <c r="A706" s="128"/>
      <c r="B706" s="664"/>
      <c r="C706" s="665"/>
      <c r="D706" s="687"/>
      <c r="E706" s="689"/>
      <c r="F706" s="666"/>
      <c r="G706" s="666"/>
      <c r="H706" s="666"/>
      <c r="I706" s="667"/>
      <c r="J706" s="655"/>
      <c r="K706" s="655"/>
      <c r="L706" s="655"/>
      <c r="M706" s="662"/>
      <c r="N706" s="662"/>
      <c r="O706" s="662"/>
      <c r="P706" s="657"/>
      <c r="Q706" s="657"/>
      <c r="R706" s="657"/>
      <c r="S706" s="657"/>
      <c r="T706" s="659"/>
      <c r="U706" s="300" t="s">
        <v>1109</v>
      </c>
      <c r="V706" s="122">
        <v>1</v>
      </c>
      <c r="W706" s="122">
        <v>3</v>
      </c>
      <c r="X706" s="122">
        <v>4</v>
      </c>
      <c r="Y706" s="133">
        <v>0.01</v>
      </c>
      <c r="Z706" s="122">
        <f>+V706</f>
        <v>1</v>
      </c>
      <c r="AA706" s="122">
        <f>+V706+W706</f>
        <v>4</v>
      </c>
      <c r="AB706" s="122">
        <f>+V706+W706+X706</f>
        <v>8</v>
      </c>
      <c r="AC706" s="133">
        <v>8</v>
      </c>
      <c r="AD706" s="649"/>
      <c r="AE706" s="652"/>
      <c r="AF706" s="652"/>
      <c r="AG706" s="652"/>
      <c r="AH706" s="670"/>
      <c r="AI706" s="670"/>
      <c r="AJ706" s="652"/>
      <c r="AK706" s="652"/>
      <c r="AL706" s="652"/>
      <c r="AM706" s="652"/>
      <c r="AN706" s="652"/>
      <c r="AO706" s="649"/>
      <c r="AP706" s="649"/>
      <c r="AQ706" s="652"/>
      <c r="AR706" s="652"/>
      <c r="AS706" s="649"/>
      <c r="AT706" s="190" t="s">
        <v>131</v>
      </c>
      <c r="AU706" s="575"/>
      <c r="AV706" s="576"/>
      <c r="AW706" s="576"/>
      <c r="AX706" s="576"/>
      <c r="AY706" s="576"/>
      <c r="AZ706" s="576"/>
      <c r="BA706" s="576"/>
      <c r="BB706" s="577"/>
      <c r="BC706" s="547"/>
      <c r="BD706" s="547"/>
      <c r="BE706" s="117"/>
      <c r="BF706" s="118"/>
    </row>
    <row r="707" spans="1:58" s="120" customFormat="1" ht="24.95" customHeight="1" x14ac:dyDescent="0.25">
      <c r="A707" s="128"/>
      <c r="B707" s="664"/>
      <c r="C707" s="665"/>
      <c r="D707" s="687"/>
      <c r="E707" s="689"/>
      <c r="F707" s="666"/>
      <c r="G707" s="666"/>
      <c r="H707" s="666"/>
      <c r="I707" s="667"/>
      <c r="J707" s="655"/>
      <c r="K707" s="656"/>
      <c r="L707" s="656"/>
      <c r="M707" s="663"/>
      <c r="N707" s="663"/>
      <c r="O707" s="663"/>
      <c r="P707" s="657"/>
      <c r="Q707" s="657"/>
      <c r="R707" s="657"/>
      <c r="S707" s="657"/>
      <c r="T707" s="660"/>
      <c r="U707" s="125" t="s">
        <v>96</v>
      </c>
      <c r="V707" s="447">
        <f>IF((V705/V706)&lt;$I$8,(V705/V706),IF((V705/V706)&lt;$J$8,(V705/V706),IF((V705/V706)&lt;$J$8,(V705/V706),IF((V705/V706)&gt;=$J$9,$J$9))))</f>
        <v>0</v>
      </c>
      <c r="W707" s="447">
        <f>IF((W705/W706)&lt;$I$8,(W705/W706),IF((W705/W706)&lt;$J$8,(W705/W706),IF((W705/W706)&lt;$J$8,(W705/W706),IF((W705/W706)&gt;=$J$9,$J$9))))</f>
        <v>0</v>
      </c>
      <c r="X707" s="447">
        <f>IF((X705/X706)&lt;$I$8,(X705/X706),IF((X705/X706)&lt;$J$8,(X705/X706),IF((X705/X706)&lt;$J$8,(X705/X706),IF((X705/X706)&gt;=$J$9,$J$9))))</f>
        <v>0</v>
      </c>
      <c r="Y707" s="197">
        <f>IF((Y705/Y706)&lt;$I$8,(Y705/Y706),IF((Y705/Y706)&lt;$J$8,(Y705/Y706),IF((Y705/Y706)&lt;$J$9,(Y705/Y706),IF((Y705/Y706)&gt;=$J$9,$J$9))))</f>
        <v>0</v>
      </c>
      <c r="Z707" s="447">
        <f>IF((Z705/Z706)&lt;$I$8,(Z705/Z706),IF((Z705/Z706)&lt;$J$8,(Z705/Z706),IF((Z705/Z706)&lt;$J$8,(Z705/Z706),IF((Z705/Z706)&gt;=$J$9,$J$9))))</f>
        <v>0</v>
      </c>
      <c r="AA707" s="447">
        <f>IF((AA705/AA706)&lt;$I$8,(AA705/AA706),IF((AA705/AA706)&lt;$J$8,(AA705/AA706),IF((AA705/AA706)&lt;$J$8,(AA705/AA706),IF((AA705/AA706)&gt;=$J$9,$J$9))))</f>
        <v>0</v>
      </c>
      <c r="AB707" s="447">
        <f>IF((AB705/AB706)&lt;$I$8,(AB705/AB706),IF((AB705/AB706)&lt;$J$8,(AB705/AB706),IF((AB705/AB706)&lt;$J$8,(AB705/AB706),IF((AB705/AB706)&gt;=$J$9,$J$9))))</f>
        <v>0</v>
      </c>
      <c r="AC707" s="197">
        <f>IF((AC705/AC706)&lt;$I$8,(AC705/AC706),IF((AC705/AC706)&lt;$J$8,(AC705/AC706),IF((AC705/AC706)&lt;$J$9,(AC705/AC706),IF((AC705/AC706)&gt;=$J$9,$J$9))))</f>
        <v>0</v>
      </c>
      <c r="AD707" s="650"/>
      <c r="AE707" s="653"/>
      <c r="AF707" s="653"/>
      <c r="AG707" s="653"/>
      <c r="AH707" s="670"/>
      <c r="AI707" s="670"/>
      <c r="AJ707" s="653"/>
      <c r="AK707" s="653"/>
      <c r="AL707" s="653"/>
      <c r="AM707" s="653"/>
      <c r="AN707" s="653"/>
      <c r="AO707" s="650"/>
      <c r="AP707" s="650"/>
      <c r="AQ707" s="653"/>
      <c r="AR707" s="653"/>
      <c r="AS707" s="650"/>
      <c r="AT707" s="190" t="s">
        <v>132</v>
      </c>
      <c r="AU707" s="575"/>
      <c r="AV707" s="576"/>
      <c r="AW707" s="576"/>
      <c r="AX707" s="576"/>
      <c r="AY707" s="576"/>
      <c r="AZ707" s="576"/>
      <c r="BA707" s="576"/>
      <c r="BB707" s="577"/>
      <c r="BC707" s="547"/>
      <c r="BD707" s="547"/>
      <c r="BE707" s="117"/>
      <c r="BF707" s="118"/>
    </row>
    <row r="708" spans="1:58" s="242" customFormat="1" ht="30" customHeight="1" x14ac:dyDescent="0.25">
      <c r="A708" s="139"/>
      <c r="B708" s="664"/>
      <c r="C708" s="665">
        <v>9</v>
      </c>
      <c r="D708" s="687"/>
      <c r="E708" s="689"/>
      <c r="F708" s="654">
        <v>0.15</v>
      </c>
      <c r="G708" s="654" t="s">
        <v>1110</v>
      </c>
      <c r="H708" s="654">
        <v>1</v>
      </c>
      <c r="I708" s="661" t="s">
        <v>1111</v>
      </c>
      <c r="J708" s="654">
        <v>1</v>
      </c>
      <c r="K708" s="654" t="s">
        <v>1112</v>
      </c>
      <c r="L708" s="654" t="s">
        <v>1113</v>
      </c>
      <c r="M708" s="661" t="str">
        <f t="shared" ref="M708" si="543">CONCATENATE(U708, $U$32, U709)</f>
        <v>No. de actividades realizadas en temas y herramientas del SIG / No. de actividades programadas</v>
      </c>
      <c r="N708" s="661" t="s">
        <v>1114</v>
      </c>
      <c r="O708" s="661" t="s">
        <v>143</v>
      </c>
      <c r="P708" s="654">
        <v>0.1</v>
      </c>
      <c r="Q708" s="657">
        <v>1</v>
      </c>
      <c r="R708" s="657">
        <v>1</v>
      </c>
      <c r="S708" s="657">
        <v>1</v>
      </c>
      <c r="T708" s="658" t="s">
        <v>151</v>
      </c>
      <c r="U708" s="129" t="s">
        <v>1115</v>
      </c>
      <c r="V708" s="129"/>
      <c r="W708" s="129"/>
      <c r="X708" s="129"/>
      <c r="Y708" s="129"/>
      <c r="Z708" s="130"/>
      <c r="AA708" s="130"/>
      <c r="AB708" s="130"/>
      <c r="AC708" s="130"/>
      <c r="AD708" s="648">
        <f>AE708+AF708+AG708</f>
        <v>40000000</v>
      </c>
      <c r="AE708" s="651">
        <v>0</v>
      </c>
      <c r="AF708" s="651">
        <v>40000000</v>
      </c>
      <c r="AG708" s="651">
        <v>0</v>
      </c>
      <c r="AH708" s="670"/>
      <c r="AI708" s="670"/>
      <c r="AJ708" s="651" t="s">
        <v>94</v>
      </c>
      <c r="AK708" s="651"/>
      <c r="AL708" s="651"/>
      <c r="AM708" s="651" t="s">
        <v>94</v>
      </c>
      <c r="AN708" s="651" t="s">
        <v>94</v>
      </c>
      <c r="AO708" s="648"/>
      <c r="AP708" s="648"/>
      <c r="AQ708" s="651" t="s">
        <v>94</v>
      </c>
      <c r="AR708" s="651"/>
      <c r="AS708" s="648"/>
      <c r="AT708" s="190" t="s">
        <v>129</v>
      </c>
      <c r="AU708" s="203">
        <f t="shared" ref="AU708:BB708" si="544">+V710*$J$708</f>
        <v>0</v>
      </c>
      <c r="AV708" s="203">
        <f t="shared" si="544"/>
        <v>0</v>
      </c>
      <c r="AW708" s="203">
        <f t="shared" si="544"/>
        <v>0</v>
      </c>
      <c r="AX708" s="203">
        <f t="shared" si="544"/>
        <v>0</v>
      </c>
      <c r="AY708" s="203">
        <f t="shared" si="544"/>
        <v>0</v>
      </c>
      <c r="AZ708" s="203">
        <f t="shared" si="544"/>
        <v>0</v>
      </c>
      <c r="BA708" s="203">
        <f t="shared" si="544"/>
        <v>0</v>
      </c>
      <c r="BB708" s="204">
        <f t="shared" si="544"/>
        <v>0</v>
      </c>
      <c r="BC708" s="547"/>
      <c r="BD708" s="547"/>
      <c r="BE708" s="118"/>
      <c r="BF708" s="118"/>
    </row>
    <row r="709" spans="1:58" s="242" customFormat="1" ht="30" customHeight="1" x14ac:dyDescent="0.25">
      <c r="A709" s="450"/>
      <c r="B709" s="664"/>
      <c r="C709" s="665"/>
      <c r="D709" s="687"/>
      <c r="E709" s="689"/>
      <c r="F709" s="655"/>
      <c r="G709" s="655"/>
      <c r="H709" s="655"/>
      <c r="I709" s="662"/>
      <c r="J709" s="655"/>
      <c r="K709" s="655"/>
      <c r="L709" s="655"/>
      <c r="M709" s="662"/>
      <c r="N709" s="662"/>
      <c r="O709" s="662"/>
      <c r="P709" s="655"/>
      <c r="Q709" s="657"/>
      <c r="R709" s="657"/>
      <c r="S709" s="657"/>
      <c r="T709" s="659"/>
      <c r="U709" s="300" t="s">
        <v>1116</v>
      </c>
      <c r="V709" s="133">
        <v>2</v>
      </c>
      <c r="W709" s="133">
        <v>2</v>
      </c>
      <c r="X709" s="133">
        <v>2</v>
      </c>
      <c r="Y709" s="133">
        <v>2</v>
      </c>
      <c r="Z709" s="133">
        <f>+V709</f>
        <v>2</v>
      </c>
      <c r="AA709" s="133">
        <f>+V709+W709</f>
        <v>4</v>
      </c>
      <c r="AB709" s="133">
        <f>+V709+W709+X709</f>
        <v>6</v>
      </c>
      <c r="AC709" s="133">
        <f>+V709+W709+X709+Y709</f>
        <v>8</v>
      </c>
      <c r="AD709" s="649"/>
      <c r="AE709" s="652"/>
      <c r="AF709" s="652"/>
      <c r="AG709" s="652"/>
      <c r="AH709" s="670"/>
      <c r="AI709" s="670"/>
      <c r="AJ709" s="652"/>
      <c r="AK709" s="652"/>
      <c r="AL709" s="652"/>
      <c r="AM709" s="652"/>
      <c r="AN709" s="652"/>
      <c r="AO709" s="649"/>
      <c r="AP709" s="649"/>
      <c r="AQ709" s="652"/>
      <c r="AR709" s="652"/>
      <c r="AS709" s="649"/>
      <c r="AT709" s="190" t="s">
        <v>131</v>
      </c>
      <c r="AU709" s="203">
        <f>+AU708*$H$708</f>
        <v>0</v>
      </c>
      <c r="AV709" s="203">
        <f t="shared" ref="AV709:BB709" si="545">+AV708*$H$708</f>
        <v>0</v>
      </c>
      <c r="AW709" s="203">
        <f t="shared" si="545"/>
        <v>0</v>
      </c>
      <c r="AX709" s="203">
        <f t="shared" si="545"/>
        <v>0</v>
      </c>
      <c r="AY709" s="203">
        <f t="shared" si="545"/>
        <v>0</v>
      </c>
      <c r="AZ709" s="203">
        <f t="shared" si="545"/>
        <v>0</v>
      </c>
      <c r="BA709" s="203">
        <f t="shared" si="545"/>
        <v>0</v>
      </c>
      <c r="BB709" s="204">
        <f t="shared" si="545"/>
        <v>0</v>
      </c>
      <c r="BC709" s="548"/>
      <c r="BD709" s="548"/>
      <c r="BE709" s="118"/>
      <c r="BF709" s="118"/>
    </row>
    <row r="710" spans="1:58" s="120" customFormat="1" ht="24.95" customHeight="1" x14ac:dyDescent="0.25">
      <c r="A710" s="451"/>
      <c r="B710" s="664"/>
      <c r="C710" s="665"/>
      <c r="D710" s="687"/>
      <c r="E710" s="690"/>
      <c r="F710" s="656"/>
      <c r="G710" s="656"/>
      <c r="H710" s="656"/>
      <c r="I710" s="663"/>
      <c r="J710" s="656"/>
      <c r="K710" s="656"/>
      <c r="L710" s="656"/>
      <c r="M710" s="663"/>
      <c r="N710" s="663"/>
      <c r="O710" s="663"/>
      <c r="P710" s="656"/>
      <c r="Q710" s="657"/>
      <c r="R710" s="657"/>
      <c r="S710" s="657"/>
      <c r="T710" s="660"/>
      <c r="U710" s="125" t="s">
        <v>96</v>
      </c>
      <c r="V710" s="447">
        <f t="shared" ref="V710:AC710" si="546">IF((V708/V709)&lt;$I$8,(V708/V709),IF((V708/V709)&lt;$J$8,(V708/V709),IF((V708/V709)&lt;$J$8,(V708/V709),IF((V708/V709)&gt;=$J$9,$J$9))))</f>
        <v>0</v>
      </c>
      <c r="W710" s="447">
        <f t="shared" si="546"/>
        <v>0</v>
      </c>
      <c r="X710" s="447">
        <f t="shared" si="546"/>
        <v>0</v>
      </c>
      <c r="Y710" s="447">
        <f t="shared" si="546"/>
        <v>0</v>
      </c>
      <c r="Z710" s="447">
        <f t="shared" si="546"/>
        <v>0</v>
      </c>
      <c r="AA710" s="447">
        <f t="shared" si="546"/>
        <v>0</v>
      </c>
      <c r="AB710" s="447">
        <f t="shared" si="546"/>
        <v>0</v>
      </c>
      <c r="AC710" s="447">
        <f t="shared" si="546"/>
        <v>0</v>
      </c>
      <c r="AD710" s="650"/>
      <c r="AE710" s="653"/>
      <c r="AF710" s="653"/>
      <c r="AG710" s="653"/>
      <c r="AH710" s="671"/>
      <c r="AI710" s="671"/>
      <c r="AJ710" s="653"/>
      <c r="AK710" s="653"/>
      <c r="AL710" s="653"/>
      <c r="AM710" s="653"/>
      <c r="AN710" s="653"/>
      <c r="AO710" s="650"/>
      <c r="AP710" s="650"/>
      <c r="AQ710" s="653"/>
      <c r="AR710" s="653"/>
      <c r="AS710" s="650"/>
      <c r="AT710" s="190" t="s">
        <v>132</v>
      </c>
      <c r="AU710" s="117"/>
      <c r="AV710" s="117"/>
      <c r="AW710" s="117"/>
      <c r="AX710" s="117"/>
      <c r="AY710" s="117"/>
      <c r="AZ710" s="117"/>
      <c r="BA710" s="117"/>
      <c r="BB710" s="117"/>
      <c r="BC710" s="117"/>
      <c r="BD710" s="117"/>
      <c r="BE710" s="117"/>
      <c r="BF710" s="118"/>
    </row>
    <row r="711" spans="1:58" s="120" customFormat="1" ht="24.95" hidden="1" customHeight="1" x14ac:dyDescent="0.25">
      <c r="A711" s="452"/>
      <c r="B711" s="453"/>
      <c r="C711" s="178">
        <f>+C708+C669</f>
        <v>147</v>
      </c>
      <c r="D711" s="143"/>
      <c r="E711" s="143"/>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80"/>
      <c r="AE711" s="180"/>
      <c r="AF711" s="180"/>
      <c r="AG711" s="180"/>
      <c r="AH711" s="180"/>
      <c r="AI711" s="180"/>
      <c r="AJ711" s="145">
        <f>COUNTA(AJ666:AJ710)</f>
        <v>13</v>
      </c>
      <c r="AK711" s="145">
        <f>COUNTA(AK666:AK710)</f>
        <v>2</v>
      </c>
      <c r="AL711" s="145">
        <f>COUNTA(AL666:AL710)</f>
        <v>2</v>
      </c>
      <c r="AM711" s="145">
        <f>COUNTA(AM666:AM710)</f>
        <v>4</v>
      </c>
      <c r="AN711" s="145">
        <v>7</v>
      </c>
      <c r="AO711" s="145">
        <v>1</v>
      </c>
      <c r="AP711" s="145">
        <v>1</v>
      </c>
      <c r="AQ711" s="145">
        <v>8</v>
      </c>
      <c r="AR711" s="145">
        <v>0</v>
      </c>
      <c r="AS711" s="145">
        <v>1</v>
      </c>
      <c r="AT711" s="157"/>
      <c r="AU711" s="430">
        <f t="shared" ref="AU711:BB711" si="547">+AU686</f>
        <v>0</v>
      </c>
      <c r="AV711" s="430">
        <f t="shared" si="547"/>
        <v>0</v>
      </c>
      <c r="AW711" s="430">
        <f t="shared" si="547"/>
        <v>0</v>
      </c>
      <c r="AX711" s="430">
        <f t="shared" si="547"/>
        <v>0</v>
      </c>
      <c r="AY711" s="430">
        <f t="shared" si="547"/>
        <v>0</v>
      </c>
      <c r="AZ711" s="430">
        <f t="shared" si="547"/>
        <v>0</v>
      </c>
      <c r="BA711" s="430">
        <f t="shared" si="547"/>
        <v>0</v>
      </c>
      <c r="BB711" s="430">
        <f t="shared" si="547"/>
        <v>0</v>
      </c>
      <c r="BC711" s="184"/>
      <c r="BD711" s="184"/>
      <c r="BE711" s="117"/>
      <c r="BF711" s="118"/>
    </row>
    <row r="712" spans="1:58" s="159" customFormat="1" ht="20.100000000000001" hidden="1" customHeight="1" x14ac:dyDescent="0.25">
      <c r="A712" s="43"/>
      <c r="B712" s="454"/>
      <c r="C712" s="152"/>
      <c r="D712" s="153"/>
      <c r="E712" s="153"/>
      <c r="F712" s="154"/>
      <c r="G712" s="154"/>
      <c r="H712" s="154"/>
      <c r="I712" s="155"/>
      <c r="J712" s="154"/>
      <c r="K712" s="155"/>
      <c r="L712" s="155"/>
      <c r="M712" s="155"/>
      <c r="N712" s="155"/>
      <c r="O712" s="155"/>
      <c r="P712" s="155"/>
      <c r="Q712" s="646" t="s">
        <v>154</v>
      </c>
      <c r="R712" s="646"/>
      <c r="S712" s="646"/>
      <c r="T712" s="646"/>
      <c r="U712" s="647"/>
      <c r="V712" s="156">
        <v>4</v>
      </c>
      <c r="W712" s="156">
        <v>9</v>
      </c>
      <c r="X712" s="156">
        <v>6</v>
      </c>
      <c r="Y712" s="156">
        <f>+C708</f>
        <v>9</v>
      </c>
      <c r="Z712" s="157"/>
      <c r="AA712" s="157"/>
      <c r="AB712" s="157"/>
      <c r="AC712" s="157"/>
      <c r="AD712" s="158"/>
      <c r="AE712" s="157"/>
      <c r="AF712" s="157"/>
      <c r="AG712" s="157"/>
      <c r="AH712" s="157"/>
      <c r="AI712" s="157"/>
      <c r="AJ712" s="157"/>
      <c r="AK712" s="157"/>
      <c r="AL712" s="157"/>
      <c r="AM712" s="157"/>
      <c r="AN712" s="158">
        <f t="shared" ref="AN712:AS712" si="548">+AN62+AN87+AN126+AN142+AN194+AN255+AN301+AN323+AN357+AN396+AN439+AN473+AN537+AN616+AN650+AN669+AN711</f>
        <v>82</v>
      </c>
      <c r="AO712" s="158">
        <f t="shared" si="548"/>
        <v>37</v>
      </c>
      <c r="AP712" s="158">
        <f t="shared" si="548"/>
        <v>24</v>
      </c>
      <c r="AQ712" s="158">
        <f t="shared" si="548"/>
        <v>113</v>
      </c>
      <c r="AR712" s="158">
        <f t="shared" si="548"/>
        <v>8</v>
      </c>
      <c r="AS712" s="158">
        <f t="shared" si="548"/>
        <v>19</v>
      </c>
      <c r="AT712" s="48"/>
      <c r="AU712" s="48"/>
      <c r="AV712" s="48"/>
      <c r="AW712" s="48"/>
      <c r="AX712" s="48"/>
      <c r="AY712" s="48"/>
      <c r="AZ712" s="48"/>
      <c r="BA712" s="48"/>
      <c r="BB712" s="48"/>
      <c r="BC712" s="48"/>
      <c r="BD712" s="48"/>
      <c r="BE712" s="48"/>
      <c r="BF712" s="49"/>
    </row>
    <row r="713" spans="1:58" ht="20.100000000000001" hidden="1" customHeight="1" x14ac:dyDescent="0.25">
      <c r="A713" s="43"/>
      <c r="B713" s="454"/>
      <c r="C713" s="152"/>
      <c r="D713" s="153"/>
      <c r="E713" s="153"/>
      <c r="F713" s="154"/>
      <c r="G713" s="154"/>
      <c r="H713" s="154"/>
      <c r="I713" s="155"/>
      <c r="J713" s="154"/>
      <c r="K713" s="155"/>
      <c r="L713" s="155"/>
      <c r="M713" s="155"/>
      <c r="N713" s="155"/>
      <c r="O713" s="155"/>
      <c r="P713" s="155"/>
      <c r="Q713" s="646" t="s">
        <v>155</v>
      </c>
      <c r="R713" s="646"/>
      <c r="S713" s="646"/>
      <c r="T713" s="646"/>
      <c r="U713" s="647"/>
      <c r="V713" s="160">
        <f>1+3</f>
        <v>4</v>
      </c>
      <c r="W713" s="161">
        <f>5+4</f>
        <v>9</v>
      </c>
      <c r="X713" s="161"/>
      <c r="Y713" s="161"/>
      <c r="Z713" s="157"/>
      <c r="AA713" s="157"/>
      <c r="AB713" s="157"/>
      <c r="AC713" s="157"/>
      <c r="AD713" s="158"/>
      <c r="AE713" s="157"/>
      <c r="AF713" s="157"/>
      <c r="AG713" s="157"/>
      <c r="AH713" s="157"/>
      <c r="AI713" s="157"/>
      <c r="AJ713" s="157"/>
      <c r="AK713" s="157"/>
      <c r="AL713" s="157"/>
      <c r="AM713" s="157"/>
      <c r="AN713" s="157"/>
      <c r="AO713" s="157"/>
      <c r="AP713" s="157"/>
      <c r="AQ713" s="157"/>
      <c r="AR713" s="157"/>
      <c r="AS713" s="157"/>
      <c r="AT713" s="94"/>
      <c r="AU713" s="48"/>
      <c r="AV713" s="48"/>
      <c r="AW713" s="48"/>
      <c r="AX713" s="48"/>
      <c r="AY713" s="48"/>
      <c r="AZ713" s="48"/>
      <c r="BA713" s="48"/>
      <c r="BB713" s="48"/>
      <c r="BC713" s="48"/>
      <c r="BD713" s="48"/>
      <c r="BE713" s="48"/>
      <c r="BF713" s="49"/>
    </row>
    <row r="714" spans="1:58" ht="20.100000000000001" hidden="1" customHeight="1" x14ac:dyDescent="0.25">
      <c r="A714" s="43"/>
      <c r="B714" s="454"/>
      <c r="C714" s="455"/>
      <c r="D714" s="153"/>
      <c r="E714" s="153"/>
      <c r="F714" s="154"/>
      <c r="G714" s="154"/>
      <c r="H714" s="154"/>
      <c r="I714" s="155"/>
      <c r="J714" s="154"/>
      <c r="K714" s="155"/>
      <c r="L714" s="155"/>
      <c r="M714" s="155"/>
      <c r="N714" s="155"/>
      <c r="O714" s="155"/>
      <c r="P714" s="155"/>
      <c r="Q714" s="646" t="s">
        <v>156</v>
      </c>
      <c r="R714" s="646"/>
      <c r="S714" s="646"/>
      <c r="T714" s="646"/>
      <c r="U714" s="647"/>
      <c r="V714" s="161">
        <f>1+3</f>
        <v>4</v>
      </c>
      <c r="W714" s="161">
        <v>5</v>
      </c>
      <c r="X714" s="161"/>
      <c r="Y714" s="161"/>
      <c r="Z714" s="157"/>
      <c r="AA714" s="157"/>
      <c r="AB714" s="157"/>
      <c r="AC714" s="157"/>
      <c r="AD714" s="158"/>
      <c r="AE714" s="157"/>
      <c r="AF714" s="157"/>
      <c r="AG714" s="157"/>
      <c r="AH714" s="157"/>
      <c r="AI714" s="157"/>
      <c r="AJ714" s="157"/>
      <c r="AK714" s="157"/>
      <c r="AL714" s="157"/>
      <c r="AM714" s="157"/>
      <c r="AN714" s="157"/>
      <c r="AO714" s="157"/>
      <c r="AP714" s="157"/>
      <c r="AQ714" s="157"/>
      <c r="AR714" s="157"/>
      <c r="AS714" s="157"/>
      <c r="AT714" s="48"/>
      <c r="AU714" s="48"/>
      <c r="AV714" s="48"/>
      <c r="AW714" s="48"/>
      <c r="AX714" s="48"/>
      <c r="AY714" s="48"/>
      <c r="AZ714" s="48"/>
      <c r="BA714" s="48"/>
      <c r="BB714" s="48"/>
      <c r="BC714" s="48"/>
      <c r="BD714" s="48"/>
      <c r="BE714" s="48"/>
      <c r="BF714" s="49"/>
    </row>
    <row r="715" spans="1:58" ht="20.100000000000001" hidden="1" customHeight="1" x14ac:dyDescent="0.25">
      <c r="A715" s="43"/>
      <c r="B715" s="454"/>
      <c r="C715" s="455"/>
      <c r="D715" s="153"/>
      <c r="E715" s="153"/>
      <c r="F715" s="154"/>
      <c r="G715" s="154"/>
      <c r="H715" s="154"/>
      <c r="I715" s="155"/>
      <c r="J715" s="154"/>
      <c r="K715" s="155"/>
      <c r="L715" s="155"/>
      <c r="M715" s="155"/>
      <c r="N715" s="155"/>
      <c r="O715" s="155"/>
      <c r="P715" s="155"/>
      <c r="Q715" s="646" t="s">
        <v>157</v>
      </c>
      <c r="R715" s="646"/>
      <c r="S715" s="646"/>
      <c r="T715" s="646"/>
      <c r="U715" s="647"/>
      <c r="V715" s="161">
        <f>+V712-V713</f>
        <v>0</v>
      </c>
      <c r="W715" s="161">
        <f>+W712-W713</f>
        <v>0</v>
      </c>
      <c r="X715" s="161">
        <f t="shared" ref="X715:Y715" si="549">+X712-X713</f>
        <v>6</v>
      </c>
      <c r="Y715" s="161">
        <f t="shared" si="549"/>
        <v>9</v>
      </c>
      <c r="Z715" s="157"/>
      <c r="AA715" s="157"/>
      <c r="AB715" s="157"/>
      <c r="AC715" s="157"/>
      <c r="AD715" s="158"/>
      <c r="AE715" s="157"/>
      <c r="AF715" s="157"/>
      <c r="AG715" s="157"/>
      <c r="AH715" s="157"/>
      <c r="AI715" s="157"/>
      <c r="AJ715" s="157"/>
      <c r="AK715" s="157"/>
      <c r="AL715" s="157"/>
      <c r="AM715" s="157"/>
      <c r="AN715" s="157"/>
      <c r="AO715" s="157"/>
      <c r="AP715" s="157"/>
      <c r="AQ715" s="157"/>
      <c r="AR715" s="157"/>
      <c r="AS715" s="157"/>
      <c r="AT715" s="94"/>
      <c r="AU715" s="48"/>
      <c r="AV715" s="48"/>
      <c r="AW715" s="48"/>
      <c r="AX715" s="48"/>
      <c r="AY715" s="48"/>
      <c r="AZ715" s="48"/>
      <c r="BA715" s="48"/>
      <c r="BB715" s="48"/>
      <c r="BC715" s="48"/>
      <c r="BD715" s="48"/>
      <c r="BE715" s="48"/>
      <c r="BF715" s="49"/>
    </row>
    <row r="716" spans="1:58" ht="20.100000000000001" hidden="1" customHeight="1" x14ac:dyDescent="0.25">
      <c r="A716" s="43"/>
      <c r="B716" s="454"/>
      <c r="C716" s="455"/>
      <c r="D716" s="153"/>
      <c r="E716" s="153"/>
      <c r="F716" s="154"/>
      <c r="G716" s="154"/>
      <c r="H716" s="154"/>
      <c r="I716" s="155"/>
      <c r="J716" s="154"/>
      <c r="K716" s="155"/>
      <c r="L716" s="155"/>
      <c r="M716" s="155"/>
      <c r="N716" s="155"/>
      <c r="O716" s="155"/>
      <c r="P716" s="155"/>
      <c r="Q716" s="646" t="s">
        <v>158</v>
      </c>
      <c r="R716" s="646"/>
      <c r="S716" s="646"/>
      <c r="T716" s="646"/>
      <c r="U716" s="647"/>
      <c r="V716" s="156">
        <f>+V712</f>
        <v>4</v>
      </c>
      <c r="W716" s="156">
        <f>+W712</f>
        <v>9</v>
      </c>
      <c r="X716" s="156">
        <f>+X712</f>
        <v>6</v>
      </c>
      <c r="Y716" s="156">
        <f>+Y712</f>
        <v>9</v>
      </c>
      <c r="Z716" s="157"/>
      <c r="AA716" s="157"/>
      <c r="AB716" s="157"/>
      <c r="AC716" s="157"/>
      <c r="AD716" s="158"/>
      <c r="AE716" s="157"/>
      <c r="AF716" s="157"/>
      <c r="AG716" s="157"/>
      <c r="AH716" s="157"/>
      <c r="AI716" s="157"/>
      <c r="AJ716" s="157"/>
      <c r="AK716" s="157"/>
      <c r="AL716" s="157"/>
      <c r="AM716" s="157"/>
      <c r="AN716" s="157"/>
      <c r="AO716" s="157"/>
      <c r="AP716" s="157"/>
      <c r="AQ716" s="157"/>
      <c r="AR716" s="157"/>
      <c r="AS716" s="157"/>
      <c r="AT716" s="94"/>
      <c r="AU716" s="48"/>
      <c r="AV716" s="48"/>
      <c r="AW716" s="48"/>
      <c r="AX716" s="48"/>
      <c r="AY716" s="48"/>
      <c r="AZ716" s="48"/>
      <c r="BA716" s="48"/>
      <c r="BB716" s="48"/>
      <c r="BC716" s="48"/>
      <c r="BD716" s="48"/>
      <c r="BE716" s="48"/>
      <c r="BF716" s="49"/>
    </row>
    <row r="717" spans="1:58" ht="20.100000000000001" hidden="1" customHeight="1" x14ac:dyDescent="0.25">
      <c r="A717" s="43"/>
      <c r="B717" s="454"/>
      <c r="C717" s="455"/>
      <c r="D717" s="153"/>
      <c r="E717" s="153"/>
      <c r="F717" s="154"/>
      <c r="G717" s="154"/>
      <c r="H717" s="154"/>
      <c r="I717" s="155"/>
      <c r="J717" s="154"/>
      <c r="K717" s="155"/>
      <c r="L717" s="155"/>
      <c r="M717" s="155"/>
      <c r="N717" s="155"/>
      <c r="O717" s="155"/>
      <c r="P717" s="155"/>
      <c r="Q717" s="646" t="s">
        <v>159</v>
      </c>
      <c r="R717" s="646"/>
      <c r="S717" s="646"/>
      <c r="T717" s="646"/>
      <c r="U717" s="647"/>
      <c r="V717" s="160">
        <v>4</v>
      </c>
      <c r="W717" s="161">
        <v>8</v>
      </c>
      <c r="X717" s="161"/>
      <c r="Y717" s="161"/>
      <c r="Z717" s="157"/>
      <c r="AA717" s="157"/>
      <c r="AB717" s="157"/>
      <c r="AC717" s="157"/>
      <c r="AD717" s="158"/>
      <c r="AE717" s="157"/>
      <c r="AF717" s="157"/>
      <c r="AG717" s="157"/>
      <c r="AH717" s="157"/>
      <c r="AI717" s="157"/>
      <c r="AJ717" s="157"/>
      <c r="AK717" s="157"/>
      <c r="AL717" s="157"/>
      <c r="AM717" s="157"/>
      <c r="AN717" s="157"/>
      <c r="AO717" s="157"/>
      <c r="AP717" s="157"/>
      <c r="AQ717" s="157"/>
      <c r="AR717" s="157"/>
      <c r="AS717" s="157"/>
      <c r="AT717" s="48"/>
      <c r="AU717" s="48"/>
      <c r="AV717" s="48"/>
      <c r="AW717" s="48"/>
      <c r="AX717" s="48"/>
      <c r="AY717" s="48"/>
      <c r="AZ717" s="48"/>
      <c r="BA717" s="48"/>
      <c r="BB717" s="48"/>
      <c r="BC717" s="48"/>
      <c r="BD717" s="48"/>
      <c r="BE717" s="48"/>
      <c r="BF717" s="49"/>
    </row>
    <row r="718" spans="1:58" ht="15" hidden="1" customHeight="1" x14ac:dyDescent="0.25">
      <c r="A718" s="456"/>
      <c r="B718" s="457"/>
      <c r="C718" s="458"/>
      <c r="D718" s="82"/>
      <c r="E718" s="82"/>
      <c r="F718" s="46"/>
      <c r="G718" s="46"/>
      <c r="H718" s="46"/>
      <c r="I718" s="46"/>
      <c r="J718" s="83"/>
      <c r="K718" s="46"/>
      <c r="L718" s="46"/>
      <c r="M718" s="46"/>
      <c r="N718" s="46"/>
      <c r="O718" s="46"/>
      <c r="P718" s="46"/>
      <c r="Q718" s="46"/>
      <c r="R718" s="46"/>
      <c r="S718" s="46"/>
      <c r="T718" s="46"/>
      <c r="U718" s="46"/>
      <c r="V718" s="73"/>
      <c r="W718" s="73"/>
      <c r="X718" s="73"/>
      <c r="Y718" s="73"/>
      <c r="Z718" s="46"/>
      <c r="AA718" s="46"/>
      <c r="AB718" s="46"/>
      <c r="AC718" s="46"/>
      <c r="AD718" s="47"/>
      <c r="AE718" s="48"/>
      <c r="AF718" s="48"/>
      <c r="AG718" s="48"/>
      <c r="AH718" s="48"/>
      <c r="AI718" s="48"/>
      <c r="AJ718" s="48"/>
      <c r="AK718" s="48"/>
      <c r="AL718" s="48"/>
      <c r="AM718" s="48"/>
      <c r="AN718" s="48"/>
      <c r="AO718" s="48"/>
      <c r="AP718" s="48"/>
      <c r="AQ718" s="48"/>
      <c r="AR718" s="48"/>
      <c r="AS718" s="48"/>
      <c r="AT718" s="32"/>
      <c r="AU718" s="48"/>
      <c r="AV718" s="48"/>
      <c r="AW718" s="48"/>
      <c r="AX718" s="48"/>
      <c r="AY718" s="48"/>
      <c r="AZ718" s="48"/>
      <c r="BA718" s="48"/>
      <c r="BB718" s="48"/>
      <c r="BC718" s="48"/>
      <c r="BD718" s="48"/>
      <c r="BE718" s="48"/>
      <c r="BF718" s="49"/>
    </row>
    <row r="719" spans="1:58" s="159" customFormat="1" ht="20.100000000000001" hidden="1" customHeight="1" x14ac:dyDescent="0.25">
      <c r="A719" s="43"/>
      <c r="B719" s="454"/>
      <c r="C719" s="455"/>
      <c r="D719" s="153"/>
      <c r="E719" s="153"/>
      <c r="F719" s="154"/>
      <c r="G719" s="154"/>
      <c r="H719" s="154"/>
      <c r="I719" s="155"/>
      <c r="J719" s="154"/>
      <c r="K719" s="155"/>
      <c r="L719" s="155"/>
      <c r="M719" s="155"/>
      <c r="N719" s="155"/>
      <c r="O719" s="155"/>
      <c r="P719" s="155"/>
      <c r="Q719" s="646" t="s">
        <v>154</v>
      </c>
      <c r="R719" s="646"/>
      <c r="S719" s="646"/>
      <c r="T719" s="646"/>
      <c r="U719" s="647"/>
      <c r="V719" s="156">
        <f t="shared" ref="V719:Y723" si="550">+V63+V88+V127+V143+V195+V256+V302+V324+V358+V397+V440+V474+V538+V617+V651+V670+V712</f>
        <v>83</v>
      </c>
      <c r="W719" s="156">
        <f t="shared" si="550"/>
        <v>123</v>
      </c>
      <c r="X719" s="156">
        <f t="shared" si="550"/>
        <v>105</v>
      </c>
      <c r="Y719" s="156">
        <f t="shared" si="550"/>
        <v>149</v>
      </c>
      <c r="Z719" s="157"/>
      <c r="AA719" s="157"/>
      <c r="AB719" s="157"/>
      <c r="AC719" s="157"/>
      <c r="AD719" s="158"/>
      <c r="AE719" s="157"/>
      <c r="AF719" s="157"/>
      <c r="AG719" s="157"/>
      <c r="AH719" s="157"/>
      <c r="AI719" s="157"/>
      <c r="AJ719" s="157"/>
      <c r="AK719" s="157"/>
      <c r="AL719" s="157"/>
      <c r="AM719" s="157"/>
      <c r="AN719" s="157"/>
      <c r="AO719" s="157"/>
      <c r="AP719" s="157"/>
      <c r="AQ719" s="157"/>
      <c r="AR719" s="157"/>
      <c r="AS719" s="157"/>
      <c r="AT719" s="48"/>
      <c r="AU719" s="48"/>
      <c r="AV719" s="48"/>
      <c r="AW719" s="48"/>
      <c r="AX719" s="48"/>
      <c r="AY719" s="48"/>
      <c r="AZ719" s="48"/>
      <c r="BA719" s="48"/>
      <c r="BB719" s="48"/>
      <c r="BC719" s="48"/>
      <c r="BD719" s="48"/>
      <c r="BE719" s="48"/>
      <c r="BF719" s="49"/>
    </row>
    <row r="720" spans="1:58" ht="20.100000000000001" hidden="1" customHeight="1" x14ac:dyDescent="0.25">
      <c r="A720" s="43"/>
      <c r="B720" s="454"/>
      <c r="C720" s="455"/>
      <c r="D720" s="153"/>
      <c r="E720" s="153"/>
      <c r="F720" s="154"/>
      <c r="G720" s="154"/>
      <c r="H720" s="154"/>
      <c r="I720" s="155"/>
      <c r="J720" s="154"/>
      <c r="K720" s="155"/>
      <c r="L720" s="155"/>
      <c r="M720" s="155"/>
      <c r="N720" s="155"/>
      <c r="O720" s="155"/>
      <c r="P720" s="155"/>
      <c r="Q720" s="646" t="s">
        <v>155</v>
      </c>
      <c r="R720" s="646"/>
      <c r="S720" s="646"/>
      <c r="T720" s="646"/>
      <c r="U720" s="647"/>
      <c r="V720" s="160">
        <f t="shared" si="550"/>
        <v>83</v>
      </c>
      <c r="W720" s="160">
        <f t="shared" si="550"/>
        <v>115</v>
      </c>
      <c r="X720" s="160">
        <f t="shared" si="550"/>
        <v>1</v>
      </c>
      <c r="Y720" s="160">
        <f t="shared" si="550"/>
        <v>0</v>
      </c>
      <c r="Z720" s="157"/>
      <c r="AA720" s="157"/>
      <c r="AB720" s="157"/>
      <c r="AC720" s="157"/>
      <c r="AD720" s="158"/>
      <c r="AE720" s="157"/>
      <c r="AF720" s="157"/>
      <c r="AG720" s="157"/>
      <c r="AH720" s="157"/>
      <c r="AI720" s="157"/>
      <c r="AJ720" s="157"/>
      <c r="AK720" s="157"/>
      <c r="AL720" s="157"/>
      <c r="AM720" s="157"/>
      <c r="AN720" s="157"/>
      <c r="AO720" s="157"/>
      <c r="AP720" s="157"/>
      <c r="AQ720" s="157"/>
      <c r="AR720" s="157"/>
      <c r="AS720" s="157"/>
      <c r="AT720" s="94"/>
      <c r="AU720" s="48"/>
      <c r="AV720" s="48"/>
      <c r="AW720" s="48"/>
      <c r="AX720" s="48"/>
      <c r="AY720" s="48"/>
      <c r="AZ720" s="48"/>
      <c r="BA720" s="48"/>
      <c r="BB720" s="48"/>
      <c r="BC720" s="48"/>
      <c r="BD720" s="48"/>
      <c r="BE720" s="48"/>
      <c r="BF720" s="49"/>
    </row>
    <row r="721" spans="1:58" ht="20.100000000000001" hidden="1" customHeight="1" x14ac:dyDescent="0.25">
      <c r="A721" s="43"/>
      <c r="B721" s="454"/>
      <c r="C721" s="455"/>
      <c r="D721" s="153"/>
      <c r="E721" s="153"/>
      <c r="F721" s="154"/>
      <c r="G721" s="154"/>
      <c r="H721" s="154"/>
      <c r="I721" s="155"/>
      <c r="J721" s="154"/>
      <c r="K721" s="155"/>
      <c r="L721" s="155"/>
      <c r="M721" s="155"/>
      <c r="N721" s="155"/>
      <c r="O721" s="155"/>
      <c r="P721" s="155"/>
      <c r="Q721" s="646" t="s">
        <v>156</v>
      </c>
      <c r="R721" s="646"/>
      <c r="S721" s="646"/>
      <c r="T721" s="646"/>
      <c r="U721" s="647"/>
      <c r="V721" s="160">
        <f t="shared" si="550"/>
        <v>24</v>
      </c>
      <c r="W721" s="160">
        <f t="shared" si="550"/>
        <v>42</v>
      </c>
      <c r="X721" s="160">
        <f t="shared" si="550"/>
        <v>1</v>
      </c>
      <c r="Y721" s="160">
        <f t="shared" si="550"/>
        <v>0</v>
      </c>
      <c r="Z721" s="157"/>
      <c r="AA721" s="157"/>
      <c r="AB721" s="157"/>
      <c r="AC721" s="157"/>
      <c r="AD721" s="158"/>
      <c r="AE721" s="157"/>
      <c r="AF721" s="157"/>
      <c r="AG721" s="157"/>
      <c r="AH721" s="157"/>
      <c r="AI721" s="157"/>
      <c r="AJ721" s="157"/>
      <c r="AK721" s="157"/>
      <c r="AL721" s="157"/>
      <c r="AM721" s="157"/>
      <c r="AN721" s="157"/>
      <c r="AO721" s="157"/>
      <c r="AP721" s="157"/>
      <c r="AQ721" s="157"/>
      <c r="AR721" s="157"/>
      <c r="AS721" s="157"/>
      <c r="AT721" s="48"/>
      <c r="AU721" s="48"/>
      <c r="AV721" s="48"/>
      <c r="AW721" s="48"/>
      <c r="AX721" s="48"/>
      <c r="AY721" s="48"/>
      <c r="AZ721" s="48"/>
      <c r="BA721" s="48"/>
      <c r="BB721" s="48"/>
      <c r="BC721" s="48"/>
      <c r="BD721" s="48"/>
      <c r="BE721" s="48"/>
      <c r="BF721" s="49"/>
    </row>
    <row r="722" spans="1:58" ht="20.100000000000001" hidden="1" customHeight="1" x14ac:dyDescent="0.25">
      <c r="A722" s="43"/>
      <c r="B722" s="454"/>
      <c r="C722" s="455"/>
      <c r="D722" s="153"/>
      <c r="E722" s="153"/>
      <c r="F722" s="154"/>
      <c r="G722" s="154"/>
      <c r="H722" s="154"/>
      <c r="I722" s="155"/>
      <c r="J722" s="154"/>
      <c r="K722" s="155"/>
      <c r="L722" s="155"/>
      <c r="M722" s="155"/>
      <c r="N722" s="155"/>
      <c r="O722" s="155"/>
      <c r="P722" s="155"/>
      <c r="Q722" s="646" t="s">
        <v>157</v>
      </c>
      <c r="R722" s="646"/>
      <c r="S722" s="646"/>
      <c r="T722" s="646"/>
      <c r="U722" s="647"/>
      <c r="V722" s="160">
        <f t="shared" si="550"/>
        <v>0</v>
      </c>
      <c r="W722" s="160">
        <f t="shared" si="550"/>
        <v>8</v>
      </c>
      <c r="X722" s="160">
        <f t="shared" si="550"/>
        <v>104</v>
      </c>
      <c r="Y722" s="160">
        <f t="shared" si="550"/>
        <v>149</v>
      </c>
      <c r="Z722" s="157"/>
      <c r="AA722" s="157"/>
      <c r="AB722" s="157"/>
      <c r="AC722" s="157"/>
      <c r="AD722" s="158"/>
      <c r="AE722" s="157"/>
      <c r="AF722" s="157"/>
      <c r="AG722" s="157"/>
      <c r="AH722" s="157"/>
      <c r="AI722" s="157"/>
      <c r="AJ722" s="157"/>
      <c r="AK722" s="157"/>
      <c r="AL722" s="157"/>
      <c r="AM722" s="157"/>
      <c r="AN722" s="157"/>
      <c r="AO722" s="157"/>
      <c r="AP722" s="157"/>
      <c r="AQ722" s="157"/>
      <c r="AR722" s="157"/>
      <c r="AS722" s="157"/>
      <c r="AT722" s="94"/>
      <c r="AU722" s="48"/>
      <c r="AV722" s="48"/>
      <c r="AW722" s="48"/>
      <c r="AX722" s="48"/>
      <c r="AY722" s="48"/>
      <c r="AZ722" s="48"/>
      <c r="BA722" s="48"/>
      <c r="BB722" s="48"/>
      <c r="BC722" s="48"/>
      <c r="BD722" s="48"/>
      <c r="BE722" s="48"/>
      <c r="BF722" s="49"/>
    </row>
    <row r="723" spans="1:58" ht="20.100000000000001" hidden="1" customHeight="1" x14ac:dyDescent="0.25">
      <c r="A723" s="43"/>
      <c r="B723" s="454"/>
      <c r="C723" s="455"/>
      <c r="D723" s="153"/>
      <c r="E723" s="153"/>
      <c r="F723" s="154"/>
      <c r="G723" s="154"/>
      <c r="H723" s="154"/>
      <c r="I723" s="155"/>
      <c r="J723" s="154"/>
      <c r="K723" s="155"/>
      <c r="L723" s="155"/>
      <c r="M723" s="155"/>
      <c r="N723" s="155"/>
      <c r="O723" s="155"/>
      <c r="P723" s="155"/>
      <c r="Q723" s="646" t="s">
        <v>158</v>
      </c>
      <c r="R723" s="646"/>
      <c r="S723" s="646"/>
      <c r="T723" s="646"/>
      <c r="U723" s="647"/>
      <c r="V723" s="156">
        <f t="shared" si="550"/>
        <v>83</v>
      </c>
      <c r="W723" s="156">
        <f t="shared" si="550"/>
        <v>123</v>
      </c>
      <c r="X723" s="156">
        <f t="shared" si="550"/>
        <v>105</v>
      </c>
      <c r="Y723" s="156">
        <f t="shared" si="550"/>
        <v>149</v>
      </c>
      <c r="Z723" s="157"/>
      <c r="AA723" s="157"/>
      <c r="AB723" s="157"/>
      <c r="AC723" s="157"/>
      <c r="AD723" s="158"/>
      <c r="AE723" s="157"/>
      <c r="AF723" s="157"/>
      <c r="AG723" s="157"/>
      <c r="AH723" s="157"/>
      <c r="AI723" s="157"/>
      <c r="AJ723" s="157"/>
      <c r="AK723" s="157"/>
      <c r="AL723" s="157"/>
      <c r="AM723" s="157"/>
      <c r="AN723" s="157"/>
      <c r="AO723" s="157"/>
      <c r="AP723" s="157"/>
      <c r="AQ723" s="157"/>
      <c r="AR723" s="157"/>
      <c r="AS723" s="157"/>
      <c r="AT723" s="94"/>
      <c r="AU723" s="48"/>
      <c r="AV723" s="48"/>
      <c r="AW723" s="48"/>
      <c r="AX723" s="48"/>
      <c r="AY723" s="48"/>
      <c r="AZ723" s="48"/>
      <c r="BA723" s="48"/>
      <c r="BB723" s="48"/>
      <c r="BC723" s="48"/>
      <c r="BD723" s="48"/>
      <c r="BE723" s="48"/>
      <c r="BF723" s="49"/>
    </row>
    <row r="724" spans="1:58" ht="20.100000000000001" hidden="1" customHeight="1" x14ac:dyDescent="0.25">
      <c r="A724" s="43"/>
      <c r="B724" s="454"/>
      <c r="C724" s="455"/>
      <c r="D724" s="153"/>
      <c r="E724" s="153"/>
      <c r="F724" s="154"/>
      <c r="G724" s="154"/>
      <c r="H724" s="154"/>
      <c r="I724" s="155"/>
      <c r="J724" s="154"/>
      <c r="K724" s="155"/>
      <c r="L724" s="155"/>
      <c r="M724" s="155"/>
      <c r="N724" s="155"/>
      <c r="O724" s="155"/>
      <c r="P724" s="155"/>
      <c r="Q724" s="646" t="s">
        <v>159</v>
      </c>
      <c r="R724" s="646"/>
      <c r="S724" s="646"/>
      <c r="T724" s="646"/>
      <c r="U724" s="647"/>
      <c r="V724" s="160">
        <f>+V68+V93+V132+V148+V200+V261+V307+V329+V363+V402+V445+V479+V543+V622+V656+V675+V717</f>
        <v>60</v>
      </c>
      <c r="W724" s="161">
        <f t="shared" ref="W724:Y724" si="551">+W721-W722</f>
        <v>34</v>
      </c>
      <c r="X724" s="161">
        <f t="shared" si="551"/>
        <v>-103</v>
      </c>
      <c r="Y724" s="161">
        <f t="shared" si="551"/>
        <v>-149</v>
      </c>
      <c r="Z724" s="157"/>
      <c r="AA724" s="157"/>
      <c r="AB724" s="157"/>
      <c r="AC724" s="157"/>
      <c r="AD724" s="158"/>
      <c r="AE724" s="157"/>
      <c r="AF724" s="157"/>
      <c r="AG724" s="157"/>
      <c r="AH724" s="157"/>
      <c r="AI724" s="157"/>
      <c r="AJ724" s="157"/>
      <c r="AK724" s="157"/>
      <c r="AL724" s="157"/>
      <c r="AM724" s="157"/>
      <c r="AN724" s="157"/>
      <c r="AO724" s="157"/>
      <c r="AP724" s="157"/>
      <c r="AQ724" s="157"/>
      <c r="AR724" s="157"/>
      <c r="AS724" s="157"/>
      <c r="AT724" s="48"/>
      <c r="AU724" s="48"/>
      <c r="AV724" s="48"/>
      <c r="AW724" s="48"/>
      <c r="AX724" s="48"/>
      <c r="AY724" s="48"/>
      <c r="AZ724" s="48"/>
      <c r="BA724" s="48"/>
      <c r="BB724" s="48"/>
      <c r="BC724" s="48"/>
      <c r="BD724" s="48"/>
      <c r="BE724" s="48"/>
      <c r="BF724" s="49"/>
    </row>
    <row r="725" spans="1:58" ht="15" hidden="1" customHeight="1" x14ac:dyDescent="0.25">
      <c r="A725" s="456"/>
      <c r="B725" s="457"/>
      <c r="C725" s="458"/>
      <c r="D725" s="82"/>
      <c r="E725" s="82"/>
      <c r="F725" s="46"/>
      <c r="G725" s="46"/>
      <c r="H725" s="46"/>
      <c r="I725" s="46"/>
      <c r="J725" s="83"/>
      <c r="K725" s="46"/>
      <c r="L725" s="46"/>
      <c r="M725" s="46"/>
      <c r="N725" s="46"/>
      <c r="O725" s="46"/>
      <c r="P725" s="46"/>
      <c r="Q725" s="46"/>
      <c r="R725" s="46"/>
      <c r="S725" s="46"/>
      <c r="T725" s="46"/>
      <c r="U725" s="46"/>
      <c r="V725" s="73"/>
      <c r="W725" s="73"/>
      <c r="X725" s="73"/>
      <c r="Y725" s="73"/>
      <c r="Z725" s="46"/>
      <c r="AA725" s="46"/>
      <c r="AB725" s="46"/>
      <c r="AC725" s="46"/>
      <c r="AD725" s="47"/>
      <c r="AE725" s="48"/>
      <c r="AF725" s="48"/>
      <c r="AG725" s="48"/>
      <c r="AH725" s="48"/>
      <c r="AI725" s="48"/>
      <c r="AJ725" s="48"/>
      <c r="AK725" s="48"/>
      <c r="AL725" s="48"/>
      <c r="AM725" s="48"/>
      <c r="AN725" s="48"/>
      <c r="AO725" s="48"/>
      <c r="AP725" s="48"/>
      <c r="AQ725" s="48"/>
      <c r="AR725" s="48"/>
      <c r="AS725" s="48"/>
      <c r="AT725" s="32"/>
      <c r="AU725" s="48"/>
      <c r="AV725" s="48"/>
      <c r="AW725" s="48"/>
      <c r="AX725" s="48"/>
      <c r="AY725" s="48"/>
      <c r="AZ725" s="48"/>
      <c r="BA725" s="48"/>
      <c r="BB725" s="48"/>
      <c r="BC725" s="48"/>
      <c r="BD725" s="48"/>
      <c r="BE725" s="48"/>
      <c r="BF725" s="49"/>
    </row>
    <row r="726" spans="1:58" ht="15" hidden="1" customHeight="1" x14ac:dyDescent="0.25">
      <c r="A726" s="456"/>
      <c r="B726" s="457"/>
      <c r="C726" s="458"/>
      <c r="D726" s="82"/>
      <c r="E726" s="82"/>
      <c r="F726" s="46"/>
      <c r="G726" s="46"/>
      <c r="H726" s="46"/>
      <c r="I726" s="46"/>
      <c r="J726" s="83"/>
      <c r="K726" s="46"/>
      <c r="L726" s="46"/>
      <c r="M726" s="46"/>
      <c r="N726" s="46"/>
      <c r="O726" s="46"/>
      <c r="P726" s="46"/>
      <c r="Q726" s="46"/>
      <c r="R726" s="46"/>
      <c r="S726" s="46"/>
      <c r="T726" s="46"/>
      <c r="U726" s="46"/>
      <c r="V726" s="73"/>
      <c r="W726" s="73"/>
      <c r="X726" s="73"/>
      <c r="Y726" s="73"/>
      <c r="Z726" s="46"/>
      <c r="AA726" s="46"/>
      <c r="AB726" s="46"/>
      <c r="AC726" s="46"/>
      <c r="AD726" s="47"/>
      <c r="AE726" s="48"/>
      <c r="AF726" s="48"/>
      <c r="AG726" s="48"/>
      <c r="AH726" s="48"/>
      <c r="AI726" s="48"/>
      <c r="AJ726" s="48"/>
      <c r="AK726" s="48"/>
      <c r="AL726" s="48"/>
      <c r="AM726" s="48"/>
      <c r="AN726" s="48"/>
      <c r="AO726" s="48"/>
      <c r="AP726" s="48"/>
      <c r="AQ726" s="48"/>
      <c r="AR726" s="48"/>
      <c r="AS726" s="48"/>
      <c r="AT726" s="32"/>
      <c r="AU726" s="48"/>
      <c r="AV726" s="48"/>
      <c r="AW726" s="48"/>
      <c r="AX726" s="48"/>
      <c r="AY726" s="48"/>
      <c r="AZ726" s="48"/>
      <c r="BA726" s="48"/>
      <c r="BB726" s="48"/>
      <c r="BC726" s="48"/>
      <c r="BD726" s="48"/>
      <c r="BE726" s="48"/>
      <c r="BF726" s="49"/>
    </row>
    <row r="727" spans="1:58" ht="15" hidden="1" customHeight="1" x14ac:dyDescent="0.25">
      <c r="A727" s="456"/>
      <c r="B727" s="457"/>
      <c r="C727" s="458"/>
      <c r="D727" s="82"/>
      <c r="E727" s="82"/>
      <c r="F727" s="46"/>
      <c r="G727" s="46"/>
      <c r="H727" s="46"/>
      <c r="I727" s="46"/>
      <c r="J727" s="83"/>
      <c r="K727" s="46"/>
      <c r="L727" s="46"/>
      <c r="M727" s="46"/>
      <c r="N727" s="46"/>
      <c r="O727" s="46"/>
      <c r="P727" s="46"/>
      <c r="Q727" s="459"/>
      <c r="R727" s="459"/>
      <c r="S727" s="459"/>
      <c r="T727" s="459"/>
      <c r="U727" s="640" t="s">
        <v>1117</v>
      </c>
      <c r="V727" s="642" t="s">
        <v>1118</v>
      </c>
      <c r="W727" s="642"/>
      <c r="X727" s="642"/>
      <c r="Y727" s="642"/>
      <c r="Z727" s="643" t="s">
        <v>1119</v>
      </c>
      <c r="AA727" s="644"/>
      <c r="AB727" s="644"/>
      <c r="AC727" s="644"/>
      <c r="AD727" s="47"/>
      <c r="AE727" s="48"/>
      <c r="AF727" s="48"/>
      <c r="AG727" s="48"/>
      <c r="AH727" s="48"/>
      <c r="AI727" s="48"/>
      <c r="AJ727" s="48"/>
      <c r="AK727" s="48"/>
      <c r="AL727" s="48"/>
      <c r="AM727" s="48"/>
      <c r="AN727" s="48"/>
      <c r="AO727" s="48"/>
      <c r="AP727" s="48"/>
      <c r="AQ727" s="48"/>
      <c r="AR727" s="48"/>
      <c r="AS727" s="48"/>
      <c r="AT727" s="32"/>
      <c r="AU727" s="48"/>
      <c r="AV727" s="48"/>
      <c r="AW727" s="48"/>
      <c r="AX727" s="48"/>
      <c r="AY727" s="48"/>
      <c r="AZ727" s="48"/>
      <c r="BA727" s="48"/>
      <c r="BB727" s="48"/>
      <c r="BC727" s="48"/>
      <c r="BD727" s="48"/>
      <c r="BE727" s="48"/>
      <c r="BF727" s="49"/>
    </row>
    <row r="728" spans="1:58" ht="15" hidden="1" customHeight="1" x14ac:dyDescent="0.25">
      <c r="A728" s="456"/>
      <c r="B728" s="457"/>
      <c r="C728" s="458"/>
      <c r="D728" s="82"/>
      <c r="E728" s="82"/>
      <c r="F728" s="46"/>
      <c r="G728" s="46"/>
      <c r="H728" s="46"/>
      <c r="I728" s="46"/>
      <c r="J728" s="83"/>
      <c r="K728" s="46"/>
      <c r="L728" s="46"/>
      <c r="M728" s="46"/>
      <c r="N728" s="46"/>
      <c r="O728" s="46"/>
      <c r="P728" s="46"/>
      <c r="Q728" s="459"/>
      <c r="R728" s="459"/>
      <c r="S728" s="459"/>
      <c r="T728" s="459"/>
      <c r="U728" s="641"/>
      <c r="V728" s="460">
        <v>83</v>
      </c>
      <c r="W728" s="460">
        <v>123</v>
      </c>
      <c r="X728" s="460">
        <f>+X38</f>
        <v>105</v>
      </c>
      <c r="Y728" s="460">
        <f>+Y38</f>
        <v>149</v>
      </c>
      <c r="Z728" s="461">
        <v>83</v>
      </c>
      <c r="AA728" s="460">
        <v>123</v>
      </c>
      <c r="AB728" s="460">
        <f t="shared" ref="AB728:AC728" si="552">+X728</f>
        <v>105</v>
      </c>
      <c r="AC728" s="460">
        <f t="shared" si="552"/>
        <v>149</v>
      </c>
      <c r="AD728" s="47"/>
      <c r="AE728" s="48"/>
      <c r="AF728" s="48"/>
      <c r="AG728" s="48"/>
      <c r="AH728" s="48"/>
      <c r="AI728" s="48"/>
      <c r="AJ728" s="48"/>
      <c r="AK728" s="48"/>
      <c r="AL728" s="48"/>
      <c r="AM728" s="48"/>
      <c r="AN728" s="48"/>
      <c r="AO728" s="48"/>
      <c r="AP728" s="48"/>
      <c r="AQ728" s="48"/>
      <c r="AR728" s="48"/>
      <c r="AS728" s="48"/>
      <c r="AT728" s="32"/>
      <c r="AU728" s="48"/>
      <c r="AV728" s="48"/>
      <c r="AW728" s="48"/>
      <c r="AX728" s="48"/>
      <c r="AY728" s="48"/>
      <c r="AZ728" s="48"/>
      <c r="BA728" s="48"/>
      <c r="BB728" s="48"/>
      <c r="BC728" s="48"/>
      <c r="BD728" s="48"/>
      <c r="BE728" s="48"/>
      <c r="BF728" s="49"/>
    </row>
    <row r="729" spans="1:58" ht="15" hidden="1" customHeight="1" thickBot="1" x14ac:dyDescent="0.3">
      <c r="A729" s="456"/>
      <c r="B729" s="457"/>
      <c r="C729" s="458"/>
      <c r="D729" s="82"/>
      <c r="E729" s="82"/>
      <c r="F729" s="46"/>
      <c r="G729" s="46"/>
      <c r="H729" s="46"/>
      <c r="I729" s="46"/>
      <c r="J729" s="83"/>
      <c r="K729" s="46"/>
      <c r="L729" s="46"/>
      <c r="M729" s="46"/>
      <c r="N729" s="46"/>
      <c r="O729" s="46"/>
      <c r="P729" s="46"/>
      <c r="Q729" s="459"/>
      <c r="R729" s="459"/>
      <c r="S729" s="459"/>
      <c r="T729" s="459"/>
      <c r="U729" s="459"/>
      <c r="V729" s="462" t="s">
        <v>116</v>
      </c>
      <c r="W729" s="462" t="s">
        <v>117</v>
      </c>
      <c r="X729" s="462" t="s">
        <v>118</v>
      </c>
      <c r="Y729" s="462" t="s">
        <v>119</v>
      </c>
      <c r="Z729" s="463" t="s">
        <v>116</v>
      </c>
      <c r="AA729" s="462" t="s">
        <v>117</v>
      </c>
      <c r="AB729" s="462" t="s">
        <v>118</v>
      </c>
      <c r="AC729" s="462" t="s">
        <v>119</v>
      </c>
      <c r="AD729" s="47"/>
      <c r="AE729" s="48"/>
      <c r="AF729" s="48"/>
      <c r="AG729" s="48"/>
      <c r="AH729" s="48"/>
      <c r="AI729" s="48"/>
      <c r="AJ729" s="48"/>
      <c r="AK729" s="48"/>
      <c r="AL729" s="48"/>
      <c r="AM729" s="48"/>
      <c r="AN729" s="48"/>
      <c r="AO729" s="48"/>
      <c r="AP729" s="48"/>
      <c r="AQ729" s="48"/>
      <c r="AR729" s="48"/>
      <c r="AS729" s="48"/>
      <c r="AT729" s="32"/>
      <c r="AU729" s="48"/>
      <c r="AV729" s="48"/>
      <c r="AW729" s="48"/>
      <c r="AX729" s="48"/>
      <c r="AY729" s="48"/>
      <c r="AZ729" s="48"/>
      <c r="BA729" s="48"/>
      <c r="BB729" s="48"/>
      <c r="BC729" s="48"/>
      <c r="BD729" s="48"/>
      <c r="BE729" s="48"/>
      <c r="BF729" s="49"/>
    </row>
    <row r="730" spans="1:58" ht="15" hidden="1" customHeight="1" x14ac:dyDescent="0.25">
      <c r="A730" s="456"/>
      <c r="B730" s="457"/>
      <c r="C730" s="458"/>
      <c r="D730" s="82"/>
      <c r="E730" s="82"/>
      <c r="F730" s="46"/>
      <c r="G730" s="46"/>
      <c r="H730" s="46"/>
      <c r="I730" s="46"/>
      <c r="J730" s="83"/>
      <c r="K730" s="46"/>
      <c r="L730" s="46"/>
      <c r="M730" s="46"/>
      <c r="N730" s="46"/>
      <c r="O730" s="46"/>
      <c r="P730" s="46"/>
      <c r="Q730" s="633" t="str">
        <f>+AN683</f>
        <v>GESTIÓN</v>
      </c>
      <c r="R730" s="621" t="s">
        <v>1120</v>
      </c>
      <c r="S730" s="621"/>
      <c r="T730" s="464">
        <f>+U730/U739</f>
        <v>0.55033557046979864</v>
      </c>
      <c r="U730" s="465">
        <f>+AN712</f>
        <v>82</v>
      </c>
      <c r="V730" s="466">
        <v>0.63589914467388731</v>
      </c>
      <c r="W730" s="466">
        <v>0.80541422457630552</v>
      </c>
      <c r="X730" s="466">
        <f>(X52+X61+X83+X86+X110+X119+X122+X125+X157+X160+X163+X166+X172+X175+X178+X184+X187+X190+X209+X212+X215+X218+X221+X224+X227+X230+X236+X239+X242+X245+X248+X251+X254+X270+X273+X276+X282+X285+X294+X344+X347+X395+X411+X414+X417+X420+X423+X426+X429+X432+X435+X469+X472+X491+X494+X497+X500+X512+X527+X530+X536+X567+X570+X594+X615+X637+X640+X665+X668+X686+X689+X695+X698+X704+X707+X710)/$U$730</f>
        <v>0</v>
      </c>
      <c r="Y730" s="466">
        <f>(Y52+Y61+Y83+Y86+Y110+Y119+Y122+Y125+Y157+Y160+Y163+Y166+Y172+Y175+Y178+Y184+Y187+Y190+Y209+Y212+Y215+Y218+Y221+Y224+Y227+Y230+Y236+Y239+Y242+Y245+Y248+Y251+Y254+Y270+Y273+Y276+Y282+Y285+Y294+Y344+Y347+Y395+Y411+Y414+Y417+Y420+Y423+Y426+Y429+Y432+Y435+Y469+Y472+Y491+Y494+Y497+Y500+Y512+Y527+Y530+Y536+Y567+Y570+Y594+Y615+Y637+Y640+Y665+Y668+Y686+Y689+Y695+Y698+Y704+Y707+Y710)/$U$730</f>
        <v>0</v>
      </c>
      <c r="Z730" s="467">
        <v>0.63589914467388731</v>
      </c>
      <c r="AA730" s="466">
        <v>0.85582732747103829</v>
      </c>
      <c r="AB730" s="466">
        <f>(AB52+AB61+AB83+AB86+AB110+AB119+AB122+AB125+AB157+AB160+AB163+AB166+AB172+AB175+AB178+AB184+AB187+AB190+AB209+AB212+AB215+AB218+AB221+AB224+AB227+AB230+AB236+AB239+AB242+AB245+AB248+AB251+AB254+AB270+AB273+AB276+AB282+AB285+AB294+AB344+AB347+AB395+AB411+AB414+AB417+AB420+AB423+AB426+AB429+AB432+AB435+AB469+AB472+AB491+AB494+AB497+AB500+AB512+AB527+AB530+AB536+AB567+AB570+AB594+AB615+AB637+AB640+AB665+AB668+AB686+AB689+AB695+AB698+AB704+AB707+AB710)/$U$730</f>
        <v>9.7560975609756097E-3</v>
      </c>
      <c r="AC730" s="466">
        <f>(AC52+AC61+AC83+AC86+AC110+AC119+AC122+AC125+AC157+AC160+AC163+AC166+AC172+AC175+AC178+AC184+AC187+AC190+AC209+AC212+AC215+AC218+AC221+AC224+AC227+AC230+AC236+AC239+AC242+AC245+AC248+AC251+AC254+AC270+AC273+AC276+AC282+AC285+AC294+AC344+AC347+AC395+AC411+AC414+AC417+AC420+AC423+AC426+AC429+AC432+AC435+AC469+AC472+AC491+AC494+AC497+AC500+AC512+AC527+AC530+AC536+AC567+AC570+AC594+AC615+AC637+AC640+AC665+AC668+AC686+AC689+AC695+AC698+AC704+AC707+AC710)/$U$730</f>
        <v>9.7366243123509083E-3</v>
      </c>
      <c r="AD730" s="47"/>
      <c r="AE730" s="48"/>
      <c r="AF730" s="48"/>
      <c r="AG730" s="48"/>
      <c r="AH730" s="48"/>
      <c r="AI730" s="48"/>
      <c r="AJ730" s="48"/>
      <c r="AK730" s="48"/>
      <c r="AL730" s="48"/>
      <c r="AM730" s="48"/>
      <c r="AN730" s="48"/>
      <c r="AO730" s="48"/>
      <c r="AP730" s="48"/>
      <c r="AQ730" s="48"/>
      <c r="AR730" s="48"/>
      <c r="AS730" s="48"/>
      <c r="AT730" s="32"/>
      <c r="AU730" s="48"/>
      <c r="AV730" s="48"/>
      <c r="AW730" s="48"/>
      <c r="AX730" s="48"/>
      <c r="AY730" s="48"/>
      <c r="AZ730" s="48"/>
      <c r="BA730" s="48"/>
      <c r="BB730" s="48"/>
      <c r="BC730" s="48"/>
      <c r="BD730" s="48"/>
      <c r="BE730" s="48"/>
      <c r="BF730" s="49"/>
    </row>
    <row r="731" spans="1:58" s="95" customFormat="1" ht="15" hidden="1" customHeight="1" x14ac:dyDescent="0.25">
      <c r="A731" s="468"/>
      <c r="B731" s="469"/>
      <c r="C731" s="458"/>
      <c r="D731" s="82"/>
      <c r="E731" s="82"/>
      <c r="F731" s="73"/>
      <c r="G731" s="73"/>
      <c r="H731" s="73"/>
      <c r="I731" s="73"/>
      <c r="J731" s="470"/>
      <c r="K731" s="73"/>
      <c r="L731" s="73"/>
      <c r="M731" s="73"/>
      <c r="N731" s="73"/>
      <c r="O731" s="73"/>
      <c r="P731" s="73"/>
      <c r="Q731" s="633"/>
      <c r="R731" s="635" t="s">
        <v>1121</v>
      </c>
      <c r="S731" s="635"/>
      <c r="T731" s="471"/>
      <c r="U731" s="472"/>
      <c r="V731" s="473">
        <v>0.7629025842674011</v>
      </c>
      <c r="W731" s="473">
        <v>0.97363578215891522</v>
      </c>
      <c r="X731" s="473">
        <v>0.82893993037993519</v>
      </c>
      <c r="Y731" s="473">
        <v>0.9078828262308537</v>
      </c>
      <c r="Z731" s="474">
        <v>0.7629025842674011</v>
      </c>
      <c r="AA731" s="473">
        <v>0.97350581443464979</v>
      </c>
      <c r="AB731" s="473">
        <v>0.93408641368696943</v>
      </c>
      <c r="AC731" s="473">
        <v>0.99991183184786059</v>
      </c>
      <c r="AD731" s="47"/>
      <c r="AE731" s="47"/>
      <c r="AF731" s="47"/>
      <c r="AG731" s="47"/>
      <c r="AH731" s="47"/>
      <c r="AI731" s="47"/>
      <c r="AJ731" s="47"/>
      <c r="AK731" s="47"/>
      <c r="AL731" s="47"/>
      <c r="AM731" s="47"/>
      <c r="AN731" s="47"/>
      <c r="AO731" s="47"/>
      <c r="AP731" s="47"/>
      <c r="AQ731" s="47"/>
      <c r="AR731" s="47"/>
      <c r="AS731" s="47"/>
      <c r="AT731" s="32"/>
      <c r="AU731" s="47"/>
      <c r="AV731" s="47"/>
      <c r="AW731" s="47"/>
      <c r="AX731" s="47"/>
      <c r="AY731" s="47"/>
      <c r="AZ731" s="47"/>
      <c r="BA731" s="47"/>
      <c r="BB731" s="47"/>
      <c r="BC731" s="47"/>
      <c r="BD731" s="47"/>
      <c r="BE731" s="47"/>
      <c r="BF731" s="94"/>
    </row>
    <row r="732" spans="1:58" s="488" customFormat="1" ht="24.95" hidden="1" customHeight="1" x14ac:dyDescent="0.25">
      <c r="A732" s="475"/>
      <c r="B732" s="475"/>
      <c r="C732" s="476"/>
      <c r="D732" s="477"/>
      <c r="E732" s="477"/>
      <c r="F732" s="478"/>
      <c r="G732" s="478"/>
      <c r="H732" s="478"/>
      <c r="I732" s="478"/>
      <c r="J732" s="479"/>
      <c r="K732" s="478"/>
      <c r="L732" s="478"/>
      <c r="M732" s="478"/>
      <c r="N732" s="478"/>
      <c r="O732" s="478"/>
      <c r="P732" s="478"/>
      <c r="Q732" s="634"/>
      <c r="R732" s="636" t="s">
        <v>1122</v>
      </c>
      <c r="S732" s="636"/>
      <c r="T732" s="480"/>
      <c r="U732" s="481"/>
      <c r="V732" s="482">
        <v>0.83352600684204992</v>
      </c>
      <c r="W732" s="482">
        <v>0.82722332039851754</v>
      </c>
      <c r="X732" s="482">
        <f t="shared" ref="X732:AB732" si="553">+X730/X731</f>
        <v>0</v>
      </c>
      <c r="Y732" s="482">
        <f t="shared" si="553"/>
        <v>0</v>
      </c>
      <c r="Z732" s="483">
        <v>0.83352600684204992</v>
      </c>
      <c r="AA732" s="482">
        <v>0.879118865836511</v>
      </c>
      <c r="AB732" s="482">
        <f t="shared" si="553"/>
        <v>1.0444534272227482E-2</v>
      </c>
      <c r="AC732" s="482">
        <f>+AC730/AC731</f>
        <v>9.7374828482201248E-3</v>
      </c>
      <c r="AD732" s="484"/>
      <c r="AE732" s="485"/>
      <c r="AF732" s="485"/>
      <c r="AG732" s="485"/>
      <c r="AH732" s="485"/>
      <c r="AI732" s="485"/>
      <c r="AJ732" s="485"/>
      <c r="AK732" s="485"/>
      <c r="AL732" s="485"/>
      <c r="AM732" s="485"/>
      <c r="AN732" s="485"/>
      <c r="AO732" s="485"/>
      <c r="AP732" s="485"/>
      <c r="AQ732" s="485"/>
      <c r="AR732" s="485"/>
      <c r="AS732" s="485"/>
      <c r="AT732" s="486"/>
      <c r="AU732" s="485"/>
      <c r="AV732" s="485"/>
      <c r="AW732" s="485"/>
      <c r="AX732" s="485"/>
      <c r="AY732" s="485"/>
      <c r="AZ732" s="485"/>
      <c r="BA732" s="485"/>
      <c r="BB732" s="485"/>
      <c r="BC732" s="485"/>
      <c r="BD732" s="485"/>
      <c r="BE732" s="485"/>
      <c r="BF732" s="487"/>
    </row>
    <row r="733" spans="1:58" ht="15" hidden="1" customHeight="1" x14ac:dyDescent="0.25">
      <c r="A733" s="456"/>
      <c r="B733" s="457"/>
      <c r="C733" s="458"/>
      <c r="D733" s="82"/>
      <c r="E733" s="82"/>
      <c r="F733" s="46"/>
      <c r="G733" s="46"/>
      <c r="H733" s="46"/>
      <c r="I733" s="46"/>
      <c r="J733" s="83"/>
      <c r="K733" s="46"/>
      <c r="L733" s="46"/>
      <c r="M733" s="46"/>
      <c r="N733" s="46"/>
      <c r="O733" s="46"/>
      <c r="P733" s="46"/>
      <c r="Q733" s="632" t="str">
        <f>+AO683</f>
        <v>PRODUCTO</v>
      </c>
      <c r="R733" s="638" t="s">
        <v>1120</v>
      </c>
      <c r="S733" s="638"/>
      <c r="T733" s="489">
        <f>+U733/U739</f>
        <v>0.24832214765100671</v>
      </c>
      <c r="U733" s="490">
        <f>+AO712</f>
        <v>37</v>
      </c>
      <c r="V733" s="491">
        <v>0.54582162107461885</v>
      </c>
      <c r="W733" s="491">
        <v>0.75049799500913805</v>
      </c>
      <c r="X733" s="491">
        <f>+(X55+X77+X80+X104+X107+X113+X116+X141+X169+X181+X288+X316+X319+X322+X338+X341+X350+X356+X374+X377+X380+X383+X389+X392+X454+X457+X460+X463+X466+X488+X609+X612+X631+X643+X646+X649+X701)/$U$733</f>
        <v>0</v>
      </c>
      <c r="Y733" s="491">
        <f>+(Y55+Y77+Y80+Y104+Y107+Y113+Y116+Y141+Y169+Y181+Y288+Y316+Y319+Y322+Y338+Y341+Y350+Y356+Y374+Y377+Y380+Y383+Y389+Y392+Y454+Y457+Y460+Y463+Y466+Y488+Y609+Y612+Y631+Y643+Y646+Y649+Y701)/$U$733</f>
        <v>0</v>
      </c>
      <c r="Z733" s="492">
        <v>0.54582162107461885</v>
      </c>
      <c r="AA733" s="491">
        <v>0.74333831179945864</v>
      </c>
      <c r="AB733" s="491">
        <f>+(AB55+AB77+AB80+AB104+AB107+AB113+AB116+AB141+AB169+AB181+AB288+AB316+AB319+AB322+AB338+AB341+AB350+AB356+AB374+AB377+AB380+AB383+AB389+AB392+AB454+AB457+AB460+AB463+AB466+AB488+AB609+AB612+AB631+AB643+AB646+AB649+AB701)/$U$733</f>
        <v>0</v>
      </c>
      <c r="AC733" s="491">
        <f>+(AC55+AC77+AC80+AC104+AC107+AC113+AC116+AC141+AC169+AC181+AC288+AC316+AC319+AC322+AC338+AC341+AC350+AC356+AC374+AC377+AC380+AC383+AC389+AC392+AC454+AC457+AC460+AC463+AC466+AC488+AC609+AC612+AC631+AC643+AC646+AC649+AC701)/$U$733</f>
        <v>0</v>
      </c>
      <c r="AD733" s="47"/>
      <c r="AE733" s="48"/>
      <c r="AF733" s="48"/>
      <c r="AG733" s="48"/>
      <c r="AH733" s="48"/>
      <c r="AI733" s="48"/>
      <c r="AJ733" s="48"/>
      <c r="AK733" s="48"/>
      <c r="AL733" s="48"/>
      <c r="AM733" s="48"/>
      <c r="AN733" s="48"/>
      <c r="AO733" s="48"/>
      <c r="AP733" s="48"/>
      <c r="AQ733" s="48"/>
      <c r="AR733" s="48"/>
      <c r="AS733" s="48"/>
      <c r="AT733" s="32"/>
      <c r="AU733" s="48"/>
      <c r="AV733" s="48"/>
      <c r="AW733" s="48"/>
      <c r="AX733" s="48"/>
      <c r="AY733" s="48"/>
      <c r="AZ733" s="48"/>
      <c r="BA733" s="48"/>
      <c r="BB733" s="48"/>
      <c r="BC733" s="48"/>
      <c r="BD733" s="48"/>
      <c r="BE733" s="48"/>
      <c r="BF733" s="49"/>
    </row>
    <row r="734" spans="1:58" s="95" customFormat="1" ht="15" hidden="1" customHeight="1" x14ac:dyDescent="0.25">
      <c r="A734" s="468"/>
      <c r="B734" s="469"/>
      <c r="C734" s="458"/>
      <c r="D734" s="82"/>
      <c r="E734" s="82"/>
      <c r="F734" s="73"/>
      <c r="G734" s="73"/>
      <c r="H734" s="73"/>
      <c r="I734" s="73"/>
      <c r="J734" s="470"/>
      <c r="K734" s="73"/>
      <c r="L734" s="73"/>
      <c r="M734" s="73"/>
      <c r="N734" s="73"/>
      <c r="O734" s="73"/>
      <c r="P734" s="73"/>
      <c r="Q734" s="633"/>
      <c r="R734" s="635" t="s">
        <v>1121</v>
      </c>
      <c r="S734" s="635"/>
      <c r="T734" s="471"/>
      <c r="U734" s="472"/>
      <c r="V734" s="493">
        <v>0.56756756756756754</v>
      </c>
      <c r="W734" s="493">
        <v>0.86486486486486491</v>
      </c>
      <c r="X734" s="493">
        <v>0.56756756756756754</v>
      </c>
      <c r="Y734" s="493">
        <v>0.83783783783783783</v>
      </c>
      <c r="Z734" s="494">
        <v>0.56756756756756754</v>
      </c>
      <c r="AA734" s="493">
        <v>0.89165354204277458</v>
      </c>
      <c r="AB734" s="493">
        <v>0.81047041308922696</v>
      </c>
      <c r="AC734" s="493">
        <v>0.99982707798600023</v>
      </c>
      <c r="AD734" s="47"/>
      <c r="AE734" s="47"/>
      <c r="AF734" s="47"/>
      <c r="AG734" s="47"/>
      <c r="AH734" s="47"/>
      <c r="AI734" s="47"/>
      <c r="AJ734" s="47"/>
      <c r="AK734" s="47"/>
      <c r="AL734" s="47"/>
      <c r="AM734" s="47"/>
      <c r="AN734" s="47"/>
      <c r="AO734" s="47"/>
      <c r="AP734" s="47"/>
      <c r="AQ734" s="47"/>
      <c r="AR734" s="47"/>
      <c r="AS734" s="47"/>
      <c r="AT734" s="32"/>
      <c r="AU734" s="47"/>
      <c r="AV734" s="47"/>
      <c r="AW734" s="47"/>
      <c r="AX734" s="47"/>
      <c r="AY734" s="47"/>
      <c r="AZ734" s="47"/>
      <c r="BA734" s="47"/>
      <c r="BB734" s="47"/>
      <c r="BC734" s="47"/>
      <c r="BD734" s="47"/>
      <c r="BE734" s="47"/>
      <c r="BF734" s="94"/>
    </row>
    <row r="735" spans="1:58" s="488" customFormat="1" ht="24.95" hidden="1" customHeight="1" x14ac:dyDescent="0.25">
      <c r="A735" s="475"/>
      <c r="B735" s="475"/>
      <c r="C735" s="476"/>
      <c r="D735" s="477"/>
      <c r="E735" s="477"/>
      <c r="F735" s="478"/>
      <c r="G735" s="478"/>
      <c r="H735" s="478"/>
      <c r="I735" s="478"/>
      <c r="J735" s="479"/>
      <c r="K735" s="478"/>
      <c r="L735" s="478"/>
      <c r="M735" s="478"/>
      <c r="N735" s="478"/>
      <c r="O735" s="478"/>
      <c r="P735" s="478"/>
      <c r="Q735" s="634"/>
      <c r="R735" s="636" t="s">
        <v>1122</v>
      </c>
      <c r="S735" s="636"/>
      <c r="T735" s="480"/>
      <c r="U735" s="481"/>
      <c r="V735" s="482">
        <v>0.96168571332194752</v>
      </c>
      <c r="W735" s="482">
        <v>0.86776330672931579</v>
      </c>
      <c r="X735" s="482">
        <f t="shared" ref="X735:Y735" si="554">+X733/X734</f>
        <v>0</v>
      </c>
      <c r="Y735" s="482">
        <f t="shared" si="554"/>
        <v>0</v>
      </c>
      <c r="Z735" s="483">
        <v>0.96168571332194752</v>
      </c>
      <c r="AA735" s="482">
        <v>0.83366271399143843</v>
      </c>
      <c r="AB735" s="482">
        <f t="shared" ref="AB735:AC735" si="555">+AB733/AB734</f>
        <v>0</v>
      </c>
      <c r="AC735" s="482">
        <f t="shared" si="555"/>
        <v>0</v>
      </c>
      <c r="AD735" s="484"/>
      <c r="AE735" s="485"/>
      <c r="AF735" s="485"/>
      <c r="AG735" s="485"/>
      <c r="AH735" s="485"/>
      <c r="AI735" s="485"/>
      <c r="AJ735" s="485"/>
      <c r="AK735" s="485"/>
      <c r="AL735" s="485"/>
      <c r="AM735" s="485"/>
      <c r="AN735" s="485"/>
      <c r="AO735" s="485"/>
      <c r="AP735" s="485"/>
      <c r="AQ735" s="485"/>
      <c r="AR735" s="485"/>
      <c r="AS735" s="485"/>
      <c r="AT735" s="486"/>
      <c r="AU735" s="485"/>
      <c r="AV735" s="485"/>
      <c r="AW735" s="485"/>
      <c r="AX735" s="485"/>
      <c r="AY735" s="485"/>
      <c r="AZ735" s="485"/>
      <c r="BA735" s="485"/>
      <c r="BB735" s="485"/>
      <c r="BC735" s="485"/>
      <c r="BD735" s="485"/>
      <c r="BE735" s="485"/>
      <c r="BF735" s="487"/>
    </row>
    <row r="736" spans="1:58" ht="15" hidden="1" customHeight="1" x14ac:dyDescent="0.25">
      <c r="A736" s="456"/>
      <c r="B736" s="457"/>
      <c r="C736" s="458"/>
      <c r="D736" s="82"/>
      <c r="E736" s="82"/>
      <c r="F736" s="46"/>
      <c r="G736" s="46"/>
      <c r="H736" s="46"/>
      <c r="I736" s="46"/>
      <c r="J736" s="83"/>
      <c r="K736" s="46"/>
      <c r="L736" s="46"/>
      <c r="M736" s="46"/>
      <c r="N736" s="46"/>
      <c r="O736" s="46"/>
      <c r="P736" s="46"/>
      <c r="Q736" s="632" t="str">
        <f>+AP683</f>
        <v>RESULTADO</v>
      </c>
      <c r="R736" s="621" t="s">
        <v>1120</v>
      </c>
      <c r="S736" s="621"/>
      <c r="T736" s="464">
        <f>+U736/U739</f>
        <v>0.16107382550335569</v>
      </c>
      <c r="U736" s="490">
        <f>+AP712</f>
        <v>24</v>
      </c>
      <c r="V736" s="491">
        <v>0.4034923045239921</v>
      </c>
      <c r="W736" s="491">
        <v>0.70362318840579707</v>
      </c>
      <c r="X736" s="491" t="e">
        <f>+(X58+X233+X279+X291+X353+X386+X438+X518+X521+X524+X533+X552+X555+X558+X561+X564+X573+X582+X585+X597+X634+#REF!+X692)/$U$736</f>
        <v>#REF!</v>
      </c>
      <c r="Y736" s="491" t="e">
        <f>+(Y58+Y233+Y279+Y291+Y353+Y386+Y438+Y518+Y521+Y524+Y533+Y552+Y555+Y558+Y561+Y564+Y573+Y582+Y585+Y597+Y634+#REF!+Y692)/$U$736</f>
        <v>#REF!</v>
      </c>
      <c r="Z736" s="492">
        <v>0.4034923045239921</v>
      </c>
      <c r="AA736" s="491">
        <v>0.69417139256458726</v>
      </c>
      <c r="AB736" s="491" t="e">
        <f>+(AB58+AB233+AB279+AB291+AB353+AB386+AB438+AB518+AB521+AB524+AB533+AB552+AB555+AB558+AB561+AB564+AB573+AB582+AB585+AB597+AB634+#REF!+AB692)/$U$736</f>
        <v>#REF!</v>
      </c>
      <c r="AC736" s="491" t="e">
        <f>+(AC58+AC233+AC279+AC291+AC353+AC386+AC438+AC518+AC521+AC524+AC533+AC552+AC555+AC558+AC561+AC564+AC573+AC582+AC585+AC597+AC634+#REF!+AC692)/$U$736</f>
        <v>#REF!</v>
      </c>
      <c r="AD736" s="47"/>
      <c r="AE736" s="47"/>
      <c r="AF736" s="47"/>
      <c r="AG736" s="47"/>
      <c r="AH736" s="47"/>
      <c r="AI736" s="47"/>
      <c r="AJ736" s="47"/>
      <c r="AK736" s="47"/>
      <c r="AL736" s="47"/>
      <c r="AM736" s="47"/>
      <c r="AN736" s="47"/>
      <c r="AO736" s="47"/>
      <c r="AP736" s="47"/>
      <c r="AQ736" s="47"/>
      <c r="AR736" s="47"/>
      <c r="AS736" s="47"/>
      <c r="AT736" s="32"/>
      <c r="AU736" s="48"/>
      <c r="AV736" s="48"/>
      <c r="AW736" s="48"/>
      <c r="AX736" s="48"/>
      <c r="AY736" s="48"/>
      <c r="AZ736" s="48"/>
      <c r="BA736" s="48"/>
      <c r="BB736" s="48"/>
      <c r="BC736" s="48"/>
      <c r="BD736" s="48"/>
      <c r="BE736" s="48"/>
      <c r="BF736" s="49"/>
    </row>
    <row r="737" spans="1:58" s="95" customFormat="1" ht="15" hidden="1" customHeight="1" x14ac:dyDescent="0.25">
      <c r="A737" s="468"/>
      <c r="B737" s="469"/>
      <c r="C737" s="458"/>
      <c r="D737" s="82"/>
      <c r="E737" s="82"/>
      <c r="F737" s="73"/>
      <c r="G737" s="73"/>
      <c r="H737" s="73"/>
      <c r="I737" s="73"/>
      <c r="J737" s="470"/>
      <c r="K737" s="73"/>
      <c r="L737" s="73"/>
      <c r="M737" s="73"/>
      <c r="N737" s="73"/>
      <c r="O737" s="73"/>
      <c r="P737" s="73"/>
      <c r="Q737" s="633"/>
      <c r="R737" s="635" t="s">
        <v>1121</v>
      </c>
      <c r="S737" s="635"/>
      <c r="T737" s="495"/>
      <c r="U737" s="496"/>
      <c r="V737" s="473">
        <v>0.39130434782608697</v>
      </c>
      <c r="W737" s="473">
        <v>0.69565217391304346</v>
      </c>
      <c r="X737" s="473">
        <v>0.65217391304347827</v>
      </c>
      <c r="Y737" s="473">
        <v>0.82608695652173914</v>
      </c>
      <c r="Z737" s="474">
        <v>0.39130434782608697</v>
      </c>
      <c r="AA737" s="473">
        <v>0.73908699995656513</v>
      </c>
      <c r="AB737" s="473">
        <v>0.78258800157274988</v>
      </c>
      <c r="AC737" s="473">
        <v>0.99998597927737187</v>
      </c>
      <c r="AD737" s="484"/>
      <c r="AE737" s="485"/>
      <c r="AF737" s="485"/>
      <c r="AG737" s="485"/>
      <c r="AH737" s="485"/>
      <c r="AI737" s="485"/>
      <c r="AJ737" s="485"/>
      <c r="AK737" s="485"/>
      <c r="AL737" s="485"/>
      <c r="AM737" s="485"/>
      <c r="AN737" s="485"/>
      <c r="AO737" s="485"/>
      <c r="AP737" s="485"/>
      <c r="AQ737" s="485"/>
      <c r="AR737" s="485"/>
      <c r="AS737" s="485"/>
      <c r="AT737" s="32"/>
      <c r="AU737" s="47"/>
      <c r="AV737" s="47"/>
      <c r="AW737" s="47"/>
      <c r="AX737" s="47"/>
      <c r="AY737" s="47"/>
      <c r="AZ737" s="47"/>
      <c r="BA737" s="47"/>
      <c r="BB737" s="47"/>
      <c r="BC737" s="47"/>
      <c r="BD737" s="47"/>
      <c r="BE737" s="47"/>
      <c r="BF737" s="94"/>
    </row>
    <row r="738" spans="1:58" s="488" customFormat="1" ht="24.95" hidden="1" customHeight="1" thickBot="1" x14ac:dyDescent="0.3">
      <c r="A738" s="475"/>
      <c r="B738" s="475"/>
      <c r="C738" s="476"/>
      <c r="D738" s="477"/>
      <c r="E738" s="477"/>
      <c r="F738" s="478"/>
      <c r="G738" s="478"/>
      <c r="H738" s="478"/>
      <c r="I738" s="478"/>
      <c r="J738" s="479"/>
      <c r="K738" s="478"/>
      <c r="L738" s="478"/>
      <c r="M738" s="478"/>
      <c r="N738" s="478"/>
      <c r="O738" s="478"/>
      <c r="P738" s="478"/>
      <c r="Q738" s="637"/>
      <c r="R738" s="639" t="s">
        <v>1122</v>
      </c>
      <c r="S738" s="639"/>
      <c r="T738" s="497"/>
      <c r="U738" s="498"/>
      <c r="V738" s="499">
        <v>1.0311470004502019</v>
      </c>
      <c r="W738" s="499">
        <v>1.0114583333333333</v>
      </c>
      <c r="X738" s="499" t="e">
        <f t="shared" ref="X738:Y738" si="556">+X736/X737</f>
        <v>#REF!</v>
      </c>
      <c r="Y738" s="499" t="e">
        <f t="shared" si="556"/>
        <v>#REF!</v>
      </c>
      <c r="Z738" s="500">
        <v>1.0311470004502019</v>
      </c>
      <c r="AA738" s="499">
        <v>0.93922825405585886</v>
      </c>
      <c r="AB738" s="499" t="e">
        <f t="shared" ref="AB738:AC738" si="557">+AB736/AB737</f>
        <v>#REF!</v>
      </c>
      <c r="AC738" s="499" t="e">
        <f t="shared" si="557"/>
        <v>#REF!</v>
      </c>
      <c r="AD738" s="47"/>
      <c r="AE738" s="48"/>
      <c r="AF738" s="48"/>
      <c r="AG738" s="48"/>
      <c r="AH738" s="48"/>
      <c r="AI738" s="48"/>
      <c r="AJ738" s="48"/>
      <c r="AK738" s="48"/>
      <c r="AL738" s="48"/>
      <c r="AM738" s="48"/>
      <c r="AN738" s="48"/>
      <c r="AO738" s="48"/>
      <c r="AP738" s="48"/>
      <c r="AQ738" s="48"/>
      <c r="AR738" s="48"/>
      <c r="AS738" s="48"/>
      <c r="AT738" s="486"/>
      <c r="AU738" s="485"/>
      <c r="AV738" s="485"/>
      <c r="AW738" s="485"/>
      <c r="AX738" s="485"/>
      <c r="AY738" s="485"/>
      <c r="AZ738" s="485"/>
      <c r="BA738" s="485"/>
      <c r="BB738" s="485"/>
      <c r="BC738" s="485"/>
      <c r="BD738" s="485"/>
      <c r="BE738" s="485"/>
      <c r="BF738" s="487"/>
    </row>
    <row r="739" spans="1:58" ht="18" hidden="1" customHeight="1" x14ac:dyDescent="0.25">
      <c r="A739" s="456"/>
      <c r="B739" s="457"/>
      <c r="C739" s="458"/>
      <c r="D739" s="82"/>
      <c r="E739" s="82"/>
      <c r="F739" s="46"/>
      <c r="G739" s="46"/>
      <c r="H739" s="46"/>
      <c r="I739" s="46"/>
      <c r="J739" s="83"/>
      <c r="K739" s="46"/>
      <c r="L739" s="46"/>
      <c r="M739" s="46"/>
      <c r="N739" s="46"/>
      <c r="O739" s="46"/>
      <c r="P739" s="46"/>
      <c r="Q739" s="619" t="s">
        <v>1123</v>
      </c>
      <c r="R739" s="621" t="s">
        <v>1120</v>
      </c>
      <c r="S739" s="621"/>
      <c r="T739" s="622">
        <v>1</v>
      </c>
      <c r="U739" s="645">
        <f>+Y719</f>
        <v>149</v>
      </c>
      <c r="V739" s="501">
        <v>0.57208866161050098</v>
      </c>
      <c r="W739" s="501">
        <v>0.7732591192387549</v>
      </c>
      <c r="X739" s="501" t="e">
        <f t="shared" ref="X739:AC740" si="558">+(X730*$T$730)+(X733*$T$733)+(X736*$T$736)</f>
        <v>#REF!</v>
      </c>
      <c r="Y739" s="501" t="e">
        <f t="shared" si="558"/>
        <v>#REF!</v>
      </c>
      <c r="Z739" s="502">
        <v>0.57208866161050098</v>
      </c>
      <c r="AA739" s="501">
        <v>0.79788482686297346</v>
      </c>
      <c r="AB739" s="501" t="e">
        <f t="shared" si="558"/>
        <v>#REF!</v>
      </c>
      <c r="AC739" s="501" t="e">
        <f t="shared" si="558"/>
        <v>#REF!</v>
      </c>
      <c r="AD739" s="47"/>
      <c r="AE739" s="47"/>
      <c r="AF739" s="47"/>
      <c r="AG739" s="47"/>
      <c r="AH739" s="47"/>
      <c r="AI739" s="47"/>
      <c r="AJ739" s="47"/>
      <c r="AK739" s="47"/>
      <c r="AL739" s="47"/>
      <c r="AM739" s="47"/>
      <c r="AN739" s="47"/>
      <c r="AO739" s="47"/>
      <c r="AP739" s="47"/>
      <c r="AQ739" s="47"/>
      <c r="AR739" s="47"/>
      <c r="AS739" s="47"/>
      <c r="AT739" s="32"/>
      <c r="AU739" s="48"/>
      <c r="AV739" s="48"/>
      <c r="AW739" s="48"/>
      <c r="AX739" s="48"/>
      <c r="AY739" s="48"/>
      <c r="AZ739" s="48"/>
      <c r="BA739" s="48"/>
      <c r="BB739" s="48"/>
      <c r="BC739" s="48"/>
      <c r="BD739" s="48"/>
      <c r="BE739" s="48"/>
      <c r="BF739" s="49"/>
    </row>
    <row r="740" spans="1:58" s="95" customFormat="1" ht="18" hidden="1" customHeight="1" thickBot="1" x14ac:dyDescent="0.3">
      <c r="A740" s="468"/>
      <c r="B740" s="469"/>
      <c r="C740" s="458"/>
      <c r="D740" s="82"/>
      <c r="E740" s="82"/>
      <c r="F740" s="73"/>
      <c r="G740" s="73"/>
      <c r="H740" s="73"/>
      <c r="I740" s="73"/>
      <c r="J740" s="470"/>
      <c r="K740" s="73"/>
      <c r="L740" s="73"/>
      <c r="M740" s="73"/>
      <c r="N740" s="73"/>
      <c r="O740" s="73"/>
      <c r="P740" s="73"/>
      <c r="Q740" s="620"/>
      <c r="R740" s="626" t="s">
        <v>1121</v>
      </c>
      <c r="S740" s="626"/>
      <c r="T740" s="623"/>
      <c r="U740" s="624"/>
      <c r="V740" s="503">
        <v>0.64691615003178293</v>
      </c>
      <c r="W740" s="503">
        <v>0.89703176061821743</v>
      </c>
      <c r="X740" s="503">
        <f t="shared" si="558"/>
        <v>0.70218287385367884</v>
      </c>
      <c r="Y740" s="503">
        <f t="shared" si="558"/>
        <v>0.84075489065403852</v>
      </c>
      <c r="Z740" s="504">
        <v>0.64691615003178293</v>
      </c>
      <c r="AA740" s="503">
        <v>0.91159282317365475</v>
      </c>
      <c r="AB740" s="503">
        <f t="shared" si="558"/>
        <v>0.84137317613677098</v>
      </c>
      <c r="AC740" s="503">
        <f t="shared" si="558"/>
        <v>0.95963782281653343</v>
      </c>
      <c r="AD740" s="484"/>
      <c r="AE740" s="485"/>
      <c r="AF740" s="485"/>
      <c r="AG740" s="485"/>
      <c r="AH740" s="485"/>
      <c r="AI740" s="485"/>
      <c r="AJ740" s="485"/>
      <c r="AK740" s="485"/>
      <c r="AL740" s="485"/>
      <c r="AM740" s="485"/>
      <c r="AN740" s="485"/>
      <c r="AO740" s="485"/>
      <c r="AP740" s="485"/>
      <c r="AQ740" s="485"/>
      <c r="AR740" s="485"/>
      <c r="AS740" s="485"/>
      <c r="AT740" s="32"/>
      <c r="AU740" s="47"/>
      <c r="AV740" s="47"/>
      <c r="AW740" s="47"/>
      <c r="AX740" s="47"/>
      <c r="AY740" s="47"/>
      <c r="AZ740" s="47"/>
      <c r="BA740" s="47"/>
      <c r="BB740" s="47"/>
      <c r="BC740" s="47"/>
      <c r="BD740" s="47"/>
      <c r="BE740" s="47"/>
      <c r="BF740" s="94"/>
    </row>
    <row r="741" spans="1:58" ht="18" hidden="1" customHeight="1" x14ac:dyDescent="0.25">
      <c r="A741" s="456"/>
      <c r="B741" s="457"/>
      <c r="C741" s="458"/>
      <c r="D741" s="82"/>
      <c r="E741" s="82"/>
      <c r="F741" s="46"/>
      <c r="G741" s="46"/>
      <c r="H741" s="46"/>
      <c r="I741" s="46"/>
      <c r="J741" s="83"/>
      <c r="K741" s="46"/>
      <c r="L741" s="46"/>
      <c r="M741" s="46"/>
      <c r="N741" s="46"/>
      <c r="O741" s="46"/>
      <c r="P741" s="46"/>
      <c r="Q741" s="627" t="s">
        <v>1124</v>
      </c>
      <c r="R741" s="621" t="s">
        <v>1120</v>
      </c>
      <c r="S741" s="621"/>
      <c r="T741" s="629" t="s">
        <v>1125</v>
      </c>
      <c r="U741" s="624"/>
      <c r="V741" s="505">
        <v>0.52840435675749953</v>
      </c>
      <c r="W741" s="505">
        <v>0.75317846933041344</v>
      </c>
      <c r="X741" s="505" t="e">
        <f t="shared" ref="X741:AC742" si="559">AVERAGE(X730,X733,X736)</f>
        <v>#REF!</v>
      </c>
      <c r="Y741" s="505" t="e">
        <f t="shared" si="559"/>
        <v>#REF!</v>
      </c>
      <c r="Z741" s="506">
        <v>0.52840435675749953</v>
      </c>
      <c r="AA741" s="505">
        <v>0.76444567727836132</v>
      </c>
      <c r="AB741" s="505" t="e">
        <f t="shared" si="559"/>
        <v>#REF!</v>
      </c>
      <c r="AC741" s="505" t="e">
        <f t="shared" si="559"/>
        <v>#REF!</v>
      </c>
      <c r="AD741" s="47"/>
      <c r="AE741" s="47"/>
      <c r="AF741" s="47"/>
      <c r="AG741" s="47"/>
      <c r="AH741" s="47"/>
      <c r="AI741" s="47"/>
      <c r="AJ741" s="47"/>
      <c r="AK741" s="47"/>
      <c r="AL741" s="47"/>
      <c r="AM741" s="47"/>
      <c r="AN741" s="47"/>
      <c r="AO741" s="47"/>
      <c r="AP741" s="47"/>
      <c r="AQ741" s="47"/>
      <c r="AR741" s="47"/>
      <c r="AS741" s="47"/>
      <c r="AT741" s="32"/>
      <c r="AU741" s="48"/>
      <c r="AV741" s="48"/>
      <c r="AW741" s="48"/>
      <c r="AX741" s="48"/>
      <c r="AY741" s="48"/>
      <c r="AZ741" s="48"/>
      <c r="BA741" s="48"/>
      <c r="BB741" s="48"/>
      <c r="BC741" s="48"/>
      <c r="BD741" s="48"/>
      <c r="BE741" s="48"/>
      <c r="BF741" s="49"/>
    </row>
    <row r="742" spans="1:58" s="95" customFormat="1" ht="18" hidden="1" customHeight="1" thickBot="1" x14ac:dyDescent="0.3">
      <c r="A742" s="468"/>
      <c r="B742" s="469"/>
      <c r="C742" s="458"/>
      <c r="D742" s="82"/>
      <c r="E742" s="82"/>
      <c r="F742" s="73"/>
      <c r="G742" s="73"/>
      <c r="H742" s="73"/>
      <c r="I742" s="73"/>
      <c r="J742" s="470"/>
      <c r="K742" s="73"/>
      <c r="L742" s="73"/>
      <c r="M742" s="73"/>
      <c r="N742" s="73"/>
      <c r="O742" s="73"/>
      <c r="P742" s="73"/>
      <c r="Q742" s="628"/>
      <c r="R742" s="631" t="s">
        <v>1121</v>
      </c>
      <c r="S742" s="631"/>
      <c r="T742" s="630"/>
      <c r="U742" s="625"/>
      <c r="V742" s="507">
        <v>0.57392483322035182</v>
      </c>
      <c r="W742" s="507">
        <v>0.84471760697894116</v>
      </c>
      <c r="X742" s="507">
        <f t="shared" si="559"/>
        <v>0.68289380366366037</v>
      </c>
      <c r="Y742" s="507">
        <f t="shared" si="559"/>
        <v>0.85726920686347696</v>
      </c>
      <c r="Z742" s="508">
        <v>0.57392483322035182</v>
      </c>
      <c r="AA742" s="507">
        <v>0.86808211881132979</v>
      </c>
      <c r="AB742" s="507">
        <f t="shared" si="559"/>
        <v>0.84238160944964868</v>
      </c>
      <c r="AC742" s="507">
        <f t="shared" si="559"/>
        <v>0.9999082963704109</v>
      </c>
      <c r="AD742" s="484"/>
      <c r="AE742" s="485"/>
      <c r="AF742" s="485"/>
      <c r="AG742" s="485"/>
      <c r="AH742" s="485"/>
      <c r="AI742" s="485"/>
      <c r="AJ742" s="485"/>
      <c r="AK742" s="485"/>
      <c r="AL742" s="485"/>
      <c r="AM742" s="485"/>
      <c r="AN742" s="485"/>
      <c r="AO742" s="485"/>
      <c r="AP742" s="485"/>
      <c r="AQ742" s="485"/>
      <c r="AR742" s="485"/>
      <c r="AS742" s="485"/>
      <c r="AT742" s="32"/>
      <c r="AU742" s="47"/>
      <c r="AV742" s="47"/>
      <c r="AW742" s="47"/>
      <c r="AX742" s="47"/>
      <c r="AY742" s="47"/>
      <c r="AZ742" s="47"/>
      <c r="BA742" s="47"/>
      <c r="BB742" s="47"/>
      <c r="BC742" s="47"/>
      <c r="BD742" s="47"/>
      <c r="BE742" s="47"/>
      <c r="BF742" s="94"/>
    </row>
    <row r="743" spans="1:58" ht="15" hidden="1" customHeight="1" x14ac:dyDescent="0.25">
      <c r="A743" s="456"/>
      <c r="B743" s="457"/>
      <c r="C743" s="458"/>
      <c r="D743" s="82"/>
      <c r="E743" s="82"/>
      <c r="F743" s="46"/>
      <c r="G743" s="46"/>
      <c r="H743" s="46"/>
      <c r="I743" s="46"/>
      <c r="J743" s="83"/>
      <c r="K743" s="46"/>
      <c r="L743" s="46"/>
      <c r="M743" s="46"/>
      <c r="N743" s="46"/>
      <c r="O743" s="46"/>
      <c r="P743" s="46"/>
      <c r="Q743" s="46"/>
      <c r="R743" s="46"/>
      <c r="S743" s="46"/>
      <c r="T743" s="46"/>
      <c r="U743" s="46"/>
      <c r="V743" s="73"/>
      <c r="W743" s="73"/>
      <c r="X743" s="73"/>
      <c r="Y743" s="73"/>
      <c r="Z743" s="46"/>
      <c r="AA743" s="46"/>
      <c r="AB743" s="46"/>
      <c r="AC743" s="46"/>
      <c r="AD743" s="47"/>
      <c r="AE743" s="48"/>
      <c r="AF743" s="48"/>
      <c r="AG743" s="48"/>
      <c r="AH743" s="48"/>
      <c r="AI743" s="48"/>
      <c r="AJ743" s="48"/>
      <c r="AK743" s="48"/>
      <c r="AL743" s="48"/>
      <c r="AM743" s="48"/>
      <c r="AN743" s="48"/>
      <c r="AO743" s="48"/>
      <c r="AP743" s="48"/>
      <c r="AQ743" s="48"/>
      <c r="AR743" s="48"/>
      <c r="AS743" s="48"/>
      <c r="AT743" s="32"/>
      <c r="AU743" s="48"/>
      <c r="AV743" s="48"/>
      <c r="AW743" s="48"/>
      <c r="AX743" s="48"/>
      <c r="AY743" s="48"/>
      <c r="AZ743" s="48"/>
      <c r="BA743" s="48"/>
      <c r="BB743" s="48"/>
      <c r="BC743" s="48"/>
      <c r="BD743" s="48"/>
      <c r="BE743" s="48"/>
      <c r="BF743" s="49"/>
    </row>
    <row r="744" spans="1:58" ht="15" hidden="1" customHeight="1" x14ac:dyDescent="0.25">
      <c r="A744" s="456"/>
      <c r="B744" s="457"/>
      <c r="C744" s="458"/>
      <c r="D744" s="82"/>
      <c r="E744" s="82"/>
      <c r="F744" s="46"/>
      <c r="G744" s="46"/>
      <c r="H744" s="46"/>
      <c r="I744" s="46"/>
      <c r="J744" s="83"/>
      <c r="K744" s="46"/>
      <c r="L744" s="46"/>
      <c r="M744" s="46"/>
      <c r="N744" s="46"/>
      <c r="O744" s="46"/>
      <c r="P744" s="46"/>
      <c r="Q744" s="46"/>
      <c r="R744" s="46"/>
      <c r="S744" s="46"/>
      <c r="T744" s="46"/>
      <c r="U744" s="46"/>
      <c r="V744" s="73"/>
      <c r="W744" s="73"/>
      <c r="X744" s="73"/>
      <c r="Y744" s="73"/>
      <c r="Z744" s="46"/>
      <c r="AA744" s="46"/>
      <c r="AB744" s="46"/>
      <c r="AC744" s="46"/>
      <c r="AD744" s="47"/>
      <c r="AE744" s="47"/>
      <c r="AF744" s="47"/>
      <c r="AG744" s="47"/>
      <c r="AH744" s="47"/>
      <c r="AI744" s="47"/>
      <c r="AJ744" s="47"/>
      <c r="AK744" s="47"/>
      <c r="AL744" s="47"/>
      <c r="AM744" s="47"/>
      <c r="AN744" s="47"/>
      <c r="AO744" s="47"/>
      <c r="AP744" s="47"/>
      <c r="AQ744" s="47"/>
      <c r="AR744" s="47"/>
      <c r="AS744" s="47"/>
      <c r="AT744" s="32"/>
      <c r="AU744" s="48"/>
      <c r="AV744" s="48"/>
      <c r="AW744" s="48"/>
      <c r="AX744" s="48"/>
      <c r="AY744" s="48"/>
      <c r="AZ744" s="48"/>
      <c r="BA744" s="48"/>
      <c r="BB744" s="48"/>
      <c r="BC744" s="48"/>
      <c r="BD744" s="48"/>
      <c r="BE744" s="48"/>
      <c r="BF744" s="49"/>
    </row>
    <row r="745" spans="1:58" ht="15" hidden="1" customHeight="1" x14ac:dyDescent="0.25">
      <c r="A745" s="456"/>
      <c r="B745" s="457"/>
      <c r="C745" s="458"/>
      <c r="D745" s="82"/>
      <c r="E745" s="82"/>
      <c r="F745" s="46"/>
      <c r="G745" s="46"/>
      <c r="H745" s="46"/>
      <c r="I745" s="46"/>
      <c r="J745" s="83"/>
      <c r="K745" s="46"/>
      <c r="L745" s="46"/>
      <c r="M745" s="46"/>
      <c r="N745" s="46"/>
      <c r="O745" s="46"/>
      <c r="P745" s="46"/>
      <c r="Q745" s="46"/>
      <c r="R745" s="46"/>
      <c r="S745" s="46"/>
      <c r="T745" s="46"/>
      <c r="U745" s="46"/>
      <c r="V745" s="73"/>
      <c r="W745" s="73"/>
      <c r="X745" s="73"/>
      <c r="Y745" s="73"/>
      <c r="Z745" s="46"/>
      <c r="AA745" s="46"/>
      <c r="AB745" s="46"/>
      <c r="AC745" s="46"/>
      <c r="AD745" s="484"/>
      <c r="AE745" s="485"/>
      <c r="AF745" s="485"/>
      <c r="AG745" s="485"/>
      <c r="AH745" s="485"/>
      <c r="AI745" s="485"/>
      <c r="AJ745" s="485"/>
      <c r="AK745" s="485"/>
      <c r="AL745" s="485"/>
      <c r="AM745" s="485"/>
      <c r="AN745" s="485"/>
      <c r="AO745" s="485"/>
      <c r="AP745" s="485"/>
      <c r="AQ745" s="485"/>
      <c r="AR745" s="485"/>
      <c r="AS745" s="485"/>
      <c r="AT745" s="32"/>
      <c r="AU745" s="48"/>
      <c r="AV745" s="48"/>
      <c r="AW745" s="48"/>
      <c r="AX745" s="48"/>
      <c r="AY745" s="48"/>
      <c r="AZ745" s="48"/>
      <c r="BA745" s="48"/>
      <c r="BB745" s="48"/>
      <c r="BC745" s="48"/>
      <c r="BD745" s="48"/>
      <c r="BE745" s="48"/>
      <c r="BF745" s="49"/>
    </row>
    <row r="746" spans="1:58" ht="15" hidden="1" customHeight="1" x14ac:dyDescent="0.25">
      <c r="A746" s="456"/>
      <c r="B746" s="457"/>
      <c r="C746" s="458"/>
      <c r="D746" s="82"/>
      <c r="E746" s="82"/>
      <c r="F746" s="46"/>
      <c r="G746" s="46"/>
      <c r="H746" s="46"/>
      <c r="I746" s="46"/>
      <c r="J746" s="83"/>
      <c r="K746" s="46"/>
      <c r="L746" s="46"/>
      <c r="M746" s="46"/>
      <c r="N746" s="46"/>
      <c r="O746" s="46"/>
      <c r="P746" s="46"/>
      <c r="Q746" s="46"/>
      <c r="R746" s="46"/>
      <c r="S746" s="46"/>
      <c r="T746" s="46"/>
      <c r="U746" s="46"/>
      <c r="V746" s="73"/>
      <c r="W746" s="73"/>
      <c r="X746" s="73"/>
      <c r="Y746" s="73"/>
      <c r="Z746" s="46"/>
      <c r="AA746" s="46"/>
      <c r="AB746" s="46"/>
      <c r="AC746" s="46"/>
      <c r="AD746" s="47"/>
      <c r="AE746" s="47"/>
      <c r="AF746" s="47"/>
      <c r="AG746" s="47"/>
      <c r="AH746" s="47"/>
      <c r="AI746" s="47"/>
      <c r="AJ746" s="47"/>
      <c r="AK746" s="47"/>
      <c r="AL746" s="47"/>
      <c r="AM746" s="47"/>
      <c r="AN746" s="47"/>
      <c r="AO746" s="47"/>
      <c r="AP746" s="47"/>
      <c r="AQ746" s="47"/>
      <c r="AR746" s="47"/>
      <c r="AS746" s="47"/>
      <c r="AT746" s="32"/>
      <c r="AU746" s="48"/>
      <c r="AV746" s="48"/>
      <c r="AW746" s="48"/>
      <c r="AX746" s="48"/>
      <c r="AY746" s="48"/>
      <c r="AZ746" s="48"/>
      <c r="BA746" s="48"/>
      <c r="BB746" s="48"/>
      <c r="BC746" s="48"/>
      <c r="BD746" s="48"/>
      <c r="BE746" s="48"/>
      <c r="BF746" s="49"/>
    </row>
    <row r="747" spans="1:58" ht="15" hidden="1" customHeight="1" x14ac:dyDescent="0.25">
      <c r="A747" s="456"/>
      <c r="B747" s="457"/>
      <c r="C747" s="458"/>
      <c r="D747" s="82"/>
      <c r="E747" s="82"/>
      <c r="F747" s="46"/>
      <c r="G747" s="46"/>
      <c r="H747" s="46"/>
      <c r="I747" s="46"/>
      <c r="J747" s="83"/>
      <c r="K747" s="46"/>
      <c r="L747" s="46"/>
      <c r="M747" s="46"/>
      <c r="N747" s="46"/>
      <c r="O747" s="46"/>
      <c r="P747" s="46"/>
      <c r="Q747" s="459"/>
      <c r="R747" s="459"/>
      <c r="S747" s="459"/>
      <c r="T747" s="459"/>
      <c r="U747" s="640" t="s">
        <v>1117</v>
      </c>
      <c r="V747" s="642" t="s">
        <v>1118</v>
      </c>
      <c r="W747" s="642"/>
      <c r="X747" s="642"/>
      <c r="Y747" s="642"/>
      <c r="Z747" s="643" t="s">
        <v>1119</v>
      </c>
      <c r="AA747" s="644"/>
      <c r="AB747" s="644"/>
      <c r="AC747" s="644"/>
      <c r="AD747" s="484"/>
      <c r="AE747" s="485"/>
      <c r="AF747" s="485"/>
      <c r="AG747" s="485"/>
      <c r="AH747" s="485"/>
      <c r="AI747" s="485"/>
      <c r="AJ747" s="485"/>
      <c r="AK747" s="485"/>
      <c r="AL747" s="485"/>
      <c r="AM747" s="485"/>
      <c r="AN747" s="485"/>
      <c r="AO747" s="485"/>
      <c r="AP747" s="485"/>
      <c r="AQ747" s="485"/>
      <c r="AR747" s="485"/>
      <c r="AS747" s="485"/>
      <c r="AT747" s="32"/>
      <c r="AU747" s="48"/>
      <c r="AV747" s="48"/>
      <c r="AW747" s="48"/>
      <c r="AX747" s="48"/>
      <c r="AY747" s="48"/>
      <c r="AZ747" s="48"/>
      <c r="BA747" s="48"/>
      <c r="BB747" s="48"/>
      <c r="BC747" s="48"/>
      <c r="BD747" s="48"/>
      <c r="BE747" s="48"/>
      <c r="BF747" s="49"/>
    </row>
    <row r="748" spans="1:58" ht="15" hidden="1" customHeight="1" x14ac:dyDescent="0.25">
      <c r="A748" s="456"/>
      <c r="B748" s="457"/>
      <c r="C748" s="458"/>
      <c r="D748" s="82"/>
      <c r="E748" s="82"/>
      <c r="F748" s="46"/>
      <c r="G748" s="46"/>
      <c r="H748" s="46"/>
      <c r="I748" s="46"/>
      <c r="J748" s="83"/>
      <c r="K748" s="46"/>
      <c r="L748" s="46"/>
      <c r="M748" s="46"/>
      <c r="N748" s="46"/>
      <c r="O748" s="46"/>
      <c r="P748" s="46"/>
      <c r="Q748" s="459"/>
      <c r="R748" s="459"/>
      <c r="S748" s="459"/>
      <c r="T748" s="459"/>
      <c r="U748" s="641"/>
      <c r="V748" s="460">
        <v>83</v>
      </c>
      <c r="W748" s="460">
        <v>123</v>
      </c>
      <c r="X748" s="460">
        <f t="shared" ref="X748:AC748" si="560">+X728</f>
        <v>105</v>
      </c>
      <c r="Y748" s="460">
        <f t="shared" si="560"/>
        <v>149</v>
      </c>
      <c r="Z748" s="461">
        <v>83</v>
      </c>
      <c r="AA748" s="460">
        <v>123</v>
      </c>
      <c r="AB748" s="460">
        <f t="shared" si="560"/>
        <v>105</v>
      </c>
      <c r="AC748" s="460">
        <f t="shared" si="560"/>
        <v>149</v>
      </c>
      <c r="AD748" s="47"/>
      <c r="AE748" s="48"/>
      <c r="AF748" s="48"/>
      <c r="AG748" s="48"/>
      <c r="AH748" s="48"/>
      <c r="AI748" s="48"/>
      <c r="AJ748" s="48"/>
      <c r="AK748" s="48"/>
      <c r="AL748" s="48"/>
      <c r="AM748" s="48"/>
      <c r="AN748" s="48"/>
      <c r="AO748" s="48"/>
      <c r="AP748" s="48"/>
      <c r="AQ748" s="48"/>
      <c r="AR748" s="48"/>
      <c r="AS748" s="48"/>
      <c r="AT748" s="32"/>
      <c r="AU748" s="48"/>
      <c r="AV748" s="48"/>
      <c r="AW748" s="48"/>
      <c r="AX748" s="48"/>
      <c r="AY748" s="48"/>
      <c r="AZ748" s="48"/>
      <c r="BA748" s="48"/>
      <c r="BB748" s="48"/>
      <c r="BC748" s="48"/>
      <c r="BD748" s="48"/>
      <c r="BE748" s="48"/>
      <c r="BF748" s="49"/>
    </row>
    <row r="749" spans="1:58" ht="15" hidden="1" customHeight="1" thickBot="1" x14ac:dyDescent="0.3">
      <c r="A749" s="456"/>
      <c r="B749" s="457"/>
      <c r="C749" s="458"/>
      <c r="D749" s="82"/>
      <c r="E749" s="82"/>
      <c r="F749" s="46"/>
      <c r="G749" s="46"/>
      <c r="H749" s="46"/>
      <c r="I749" s="46"/>
      <c r="J749" s="83"/>
      <c r="K749" s="46"/>
      <c r="L749" s="46"/>
      <c r="M749" s="46"/>
      <c r="N749" s="46"/>
      <c r="O749" s="46"/>
      <c r="P749" s="46"/>
      <c r="Q749" s="459"/>
      <c r="R749" s="459"/>
      <c r="S749" s="459"/>
      <c r="T749" s="459"/>
      <c r="U749" s="459"/>
      <c r="V749" s="462" t="s">
        <v>116</v>
      </c>
      <c r="W749" s="462" t="s">
        <v>117</v>
      </c>
      <c r="X749" s="462" t="s">
        <v>118</v>
      </c>
      <c r="Y749" s="462" t="s">
        <v>119</v>
      </c>
      <c r="Z749" s="463" t="s">
        <v>116</v>
      </c>
      <c r="AA749" s="462" t="s">
        <v>117</v>
      </c>
      <c r="AB749" s="462" t="s">
        <v>118</v>
      </c>
      <c r="AC749" s="462" t="s">
        <v>119</v>
      </c>
      <c r="AD749" s="47"/>
      <c r="AE749" s="47"/>
      <c r="AF749" s="47"/>
      <c r="AG749" s="47"/>
      <c r="AH749" s="47"/>
      <c r="AI749" s="47"/>
      <c r="AJ749" s="47"/>
      <c r="AK749" s="47"/>
      <c r="AL749" s="47"/>
      <c r="AM749" s="47"/>
      <c r="AN749" s="47"/>
      <c r="AO749" s="47"/>
      <c r="AP749" s="47"/>
      <c r="AQ749" s="47"/>
      <c r="AR749" s="47"/>
      <c r="AS749" s="47"/>
      <c r="AT749" s="32"/>
      <c r="AU749" s="48"/>
      <c r="AV749" s="48"/>
      <c r="AW749" s="48"/>
      <c r="AX749" s="48"/>
      <c r="AY749" s="48"/>
      <c r="AZ749" s="48"/>
      <c r="BA749" s="48"/>
      <c r="BB749" s="48"/>
      <c r="BC749" s="48"/>
      <c r="BD749" s="48"/>
      <c r="BE749" s="48"/>
      <c r="BF749" s="49"/>
    </row>
    <row r="750" spans="1:58" ht="15" hidden="1" customHeight="1" x14ac:dyDescent="0.25">
      <c r="A750" s="456"/>
      <c r="B750" s="457"/>
      <c r="C750" s="458"/>
      <c r="D750" s="82"/>
      <c r="E750" s="82"/>
      <c r="F750" s="46"/>
      <c r="G750" s="46"/>
      <c r="H750" s="46"/>
      <c r="I750" s="46"/>
      <c r="J750" s="83"/>
      <c r="K750" s="46"/>
      <c r="L750" s="46"/>
      <c r="M750" s="46"/>
      <c r="N750" s="46"/>
      <c r="O750" s="46"/>
      <c r="P750" s="46"/>
      <c r="Q750" s="633" t="str">
        <f>+AQ683</f>
        <v>EFICACIA</v>
      </c>
      <c r="R750" s="621" t="s">
        <v>1120</v>
      </c>
      <c r="S750" s="621"/>
      <c r="T750" s="464">
        <f>+U750/U759</f>
        <v>0.80714285714285716</v>
      </c>
      <c r="U750" s="465">
        <f>+AQ712</f>
        <v>113</v>
      </c>
      <c r="V750" s="466">
        <v>0.56993548776453118</v>
      </c>
      <c r="W750" s="466">
        <v>0.76206375207598753</v>
      </c>
      <c r="X750" s="466" t="e">
        <f>+(X52+X55+X61+X77+X80+X83+X86+X104+X107+X110+X113+X116+X119+X122+X157+X160+X163+X166+X172+X175+X178+X184+X190+X209+X212+X215+X218+X221+X224+X227+X230+X236+X239+X242+X245+X248+X251+X254+X270+X273+X276+X279+X282+X285+X288+X294+X316+X319+X322+X338+X344+X347+X350+X356+X374+X380+X383+X389+X392+X395+X411+X414+X417+X420+X423+X426+X429+X432+X435+X454+X457+X460+X463+X466+X488+X491+X494+X497+X500+X512+X518+X527+X530+X536+X552+X555+X558+X561+X564+X567+X570+X597+X609+X612+X615+X631+X634+X637+#REF!+X640+X643+X646+X649+X665+X668+X686+X689+X695+X698+X701+X704+X707+X710)/$U$750</f>
        <v>#REF!</v>
      </c>
      <c r="Y750" s="466" t="e">
        <f>+(Y52+Y55+Y61+Y77+Y80+Y83+Y86+Y104+Y107+Y110+Y113+Y116+Y119+Y122+Y157+Y160+Y163+Y166+Y172+Y175+Y178+Y184+Y190+Y209+Y212+Y215+Y218+Y221+Y224+Y227+Y230+Y236+Y239+Y242+Y245+Y248+Y251+Y254+Y270+Y273+Y276+Y279+Y282+Y285+Y288+Y294+Y316+Y319+Y322+Y338+Y344+Y347+Y350+Y356+Y374+Y380+Y383+Y389+Y392+Y395+Y411+Y414+Y417+Y420+Y423+Y426+Y429+Y432+Y435+Y454+Y457+Y460+Y463+Y466+Y488+Y491+Y494+Y497+Y500+Y512+Y518+Y527+Y530+Y536+Y552+Y555+Y558+Y561+Y564+Y567+Y570+Y597+Y609+Y612+Y615+Y631+Y634+Y637+#REF!+Y640+Y643+Y646+Y649+Y665+Y668+Y686+Y689+Y695+Y698+Y701+Y704+Y707+Y710)/$U$750</f>
        <v>#REF!</v>
      </c>
      <c r="Z750" s="467">
        <v>0.56993548776453118</v>
      </c>
      <c r="AA750" s="466">
        <v>0.79269595992583364</v>
      </c>
      <c r="AB750" s="466" t="e">
        <f>+(AB52+AB55+AB61+AB77+AB80+AB83+AB86+AB104+AB107+AB110+AB113+AB116+AB119+AB122+AB157+AB160+AB163+AB166+AB172+AB175+AB178+AB184+AB190+AB209+AB212+AB215+AB218+AB221+AB224+AB227+AB230+AB236+AB239+AB242+AB245+AB248+AB251+AB254+AB270+AB273+AB276+AB279+AB282+AB285+AB288+AB294+AB316+AB319+AB322+AB338+AB344+AB347+AB350+AB356+AB374+AB380+AB383+AB389+AB392+AB395+AB411+AB414+AB417+AB420+AB423+AB426+AB429+AB432+AB435+AB454+AB457+AB460+AB463+AB466+AB488+AB491+AB494+AB497+AB500+AB512+AB518+AB527+AB530+AB536+AB552+AB555+AB558+AB561+AB564+AB567+AB570+AB597+AB609+AB612+AB615+AB631+AB634+AB637+#REF!+AB640+AB643+AB646+AB649+AB665+AB668+AB686+AB689+AB695+AB698+AB701+AB704+AB707+AB710)/$U$750</f>
        <v>#REF!</v>
      </c>
      <c r="AC750" s="466" t="e">
        <f>+(AC52+AC55+AC61+AC77+AC80+AC83+AC86+AC104+AC107+AC110+AC113+AC116+AC119+AC122+AC157+AC160+AC163+AC166+AC172+AC175+AC178+AC184+AC190+AC209+AC212+AC215+AC218+AC221+AC224+AC227+AC230+AC236+AC239+AC242+AC245+AC248+AC251+AC254+AC270+AC273+AC276+AC279+AC282+AC285+AC288+AC294+AC316+AC319+AC322+AC338+AC344+AC347+AC350+AC356+AC374+AC380+AC383+AC389+AC392+AC395+AC411+AC414+AC417+AC420+AC423+AC426+AC429+AC432+AC435+AC454+AC457+AC460+AC463+AC466+AC488+AC491+AC494+AC497+AC500+AC512+AC518+AC527+AC530+AC536+AC552+AC555+AC558+AC561+AC564+AC567+AC570+AC597+AC609+AC612+AC615+AC631+AC634+AC637+#REF!+AC640+AC643+AC646+AC649+AC665+AC668+AC686+AC689+AC695+AC698+AC701+AC704+AC707+AC710)/$U$750</f>
        <v>#REF!</v>
      </c>
      <c r="AD750" s="484"/>
      <c r="AE750" s="485"/>
      <c r="AF750" s="485"/>
      <c r="AG750" s="485"/>
      <c r="AH750" s="485"/>
      <c r="AI750" s="485"/>
      <c r="AJ750" s="485"/>
      <c r="AK750" s="485"/>
      <c r="AL750" s="485"/>
      <c r="AM750" s="485"/>
      <c r="AN750" s="485"/>
      <c r="AO750" s="485"/>
      <c r="AP750" s="485"/>
      <c r="AQ750" s="485"/>
      <c r="AR750" s="485"/>
      <c r="AS750" s="485"/>
      <c r="AT750" s="32"/>
      <c r="AU750" s="48"/>
      <c r="AV750" s="48"/>
      <c r="AW750" s="48"/>
      <c r="AX750" s="48"/>
      <c r="AY750" s="48"/>
      <c r="AZ750" s="48"/>
      <c r="BA750" s="48"/>
      <c r="BB750" s="48"/>
      <c r="BC750" s="48"/>
      <c r="BD750" s="48"/>
      <c r="BE750" s="48"/>
      <c r="BF750" s="49"/>
    </row>
    <row r="751" spans="1:58" ht="15" hidden="1" customHeight="1" x14ac:dyDescent="0.25">
      <c r="A751" s="456"/>
      <c r="B751" s="457"/>
      <c r="C751" s="458"/>
      <c r="D751" s="82"/>
      <c r="E751" s="82"/>
      <c r="F751" s="46"/>
      <c r="G751" s="46"/>
      <c r="H751" s="46"/>
      <c r="I751" s="46"/>
      <c r="J751" s="83"/>
      <c r="K751" s="46"/>
      <c r="L751" s="46"/>
      <c r="M751" s="46"/>
      <c r="N751" s="46"/>
      <c r="O751" s="46"/>
      <c r="P751" s="46"/>
      <c r="Q751" s="633"/>
      <c r="R751" s="635" t="s">
        <v>1121</v>
      </c>
      <c r="S751" s="635"/>
      <c r="T751" s="509"/>
      <c r="U751" s="510"/>
      <c r="V751" s="511">
        <v>0.64584598587896003</v>
      </c>
      <c r="W751" s="511">
        <v>0.89377273844316418</v>
      </c>
      <c r="X751" s="511">
        <v>0.73450827175995637</v>
      </c>
      <c r="Y751" s="511">
        <v>0.84954951144729984</v>
      </c>
      <c r="Z751" s="512">
        <v>0.64584598587896003</v>
      </c>
      <c r="AA751" s="511">
        <v>0.91129757036828118</v>
      </c>
      <c r="AB751" s="511">
        <v>0.9113052810680029</v>
      </c>
      <c r="AC751" s="511">
        <v>0.99988123713243304</v>
      </c>
      <c r="AD751" s="47"/>
      <c r="AE751" s="47"/>
      <c r="AF751" s="47"/>
      <c r="AG751" s="47"/>
      <c r="AH751" s="47"/>
      <c r="AI751" s="47"/>
      <c r="AJ751" s="47"/>
      <c r="AK751" s="47"/>
      <c r="AL751" s="47"/>
      <c r="AM751" s="47"/>
      <c r="AN751" s="47"/>
      <c r="AO751" s="47"/>
      <c r="AP751" s="47"/>
      <c r="AQ751" s="47"/>
      <c r="AR751" s="47"/>
      <c r="AS751" s="47"/>
      <c r="AT751" s="32"/>
      <c r="AU751" s="48"/>
      <c r="AV751" s="48"/>
      <c r="AW751" s="48"/>
      <c r="AX751" s="48"/>
      <c r="AY751" s="48"/>
      <c r="AZ751" s="48"/>
      <c r="BA751" s="48"/>
      <c r="BB751" s="48"/>
      <c r="BC751" s="48"/>
      <c r="BD751" s="48"/>
      <c r="BE751" s="48"/>
      <c r="BF751" s="49"/>
    </row>
    <row r="752" spans="1:58" s="488" customFormat="1" ht="24.95" hidden="1" customHeight="1" x14ac:dyDescent="0.25">
      <c r="A752" s="475"/>
      <c r="B752" s="475"/>
      <c r="C752" s="476"/>
      <c r="D752" s="477"/>
      <c r="E752" s="477"/>
      <c r="F752" s="478"/>
      <c r="G752" s="478"/>
      <c r="H752" s="478"/>
      <c r="I752" s="478"/>
      <c r="J752" s="479"/>
      <c r="K752" s="478"/>
      <c r="L752" s="478"/>
      <c r="M752" s="478"/>
      <c r="N752" s="478"/>
      <c r="O752" s="478"/>
      <c r="P752" s="478"/>
      <c r="Q752" s="634"/>
      <c r="R752" s="636" t="s">
        <v>1122</v>
      </c>
      <c r="S752" s="636"/>
      <c r="T752" s="480"/>
      <c r="U752" s="481"/>
      <c r="V752" s="482">
        <v>0.88246346687264932</v>
      </c>
      <c r="W752" s="482">
        <v>0.85263705111816612</v>
      </c>
      <c r="X752" s="482" t="e">
        <f t="shared" ref="X752:AC752" si="561">+X750/X751</f>
        <v>#REF!</v>
      </c>
      <c r="Y752" s="482" t="e">
        <f t="shared" si="561"/>
        <v>#REF!</v>
      </c>
      <c r="Z752" s="483">
        <v>0.88246346687264932</v>
      </c>
      <c r="AA752" s="482">
        <v>0.86985413513774945</v>
      </c>
      <c r="AB752" s="482" t="e">
        <f t="shared" si="561"/>
        <v>#REF!</v>
      </c>
      <c r="AC752" s="482" t="e">
        <f t="shared" si="561"/>
        <v>#REF!</v>
      </c>
      <c r="AD752" s="484"/>
      <c r="AE752" s="485"/>
      <c r="AF752" s="485"/>
      <c r="AG752" s="485"/>
      <c r="AH752" s="485"/>
      <c r="AI752" s="485"/>
      <c r="AJ752" s="485"/>
      <c r="AK752" s="485"/>
      <c r="AL752" s="485"/>
      <c r="AM752" s="485"/>
      <c r="AN752" s="485"/>
      <c r="AO752" s="485"/>
      <c r="AP752" s="485"/>
      <c r="AQ752" s="485"/>
      <c r="AR752" s="485"/>
      <c r="AS752" s="485"/>
      <c r="AT752" s="486"/>
      <c r="AU752" s="485"/>
      <c r="AV752" s="485"/>
      <c r="AW752" s="485"/>
      <c r="AX752" s="485"/>
      <c r="AY752" s="485"/>
      <c r="AZ752" s="485"/>
      <c r="BA752" s="485"/>
      <c r="BB752" s="485"/>
      <c r="BC752" s="485"/>
      <c r="BD752" s="485"/>
      <c r="BE752" s="485"/>
      <c r="BF752" s="487"/>
    </row>
    <row r="753" spans="1:58" ht="15" hidden="1" customHeight="1" x14ac:dyDescent="0.25">
      <c r="A753" s="456"/>
      <c r="B753" s="457"/>
      <c r="C753" s="458"/>
      <c r="D753" s="82"/>
      <c r="E753" s="82"/>
      <c r="F753" s="46"/>
      <c r="G753" s="46"/>
      <c r="H753" s="46"/>
      <c r="I753" s="46"/>
      <c r="J753" s="83"/>
      <c r="K753" s="46"/>
      <c r="L753" s="46"/>
      <c r="M753" s="46"/>
      <c r="N753" s="46"/>
      <c r="O753" s="46"/>
      <c r="P753" s="46"/>
      <c r="Q753" s="632" t="str">
        <f>+AR683</f>
        <v>EFICIENCIA</v>
      </c>
      <c r="R753" s="621" t="s">
        <v>1120</v>
      </c>
      <c r="S753" s="621"/>
      <c r="T753" s="464">
        <f>+U753/U759</f>
        <v>5.7142857142857141E-2</v>
      </c>
      <c r="U753" s="465">
        <f>+AR712</f>
        <v>8</v>
      </c>
      <c r="V753" s="513">
        <v>0.5814049103169483</v>
      </c>
      <c r="W753" s="513">
        <v>0.96531250000000002</v>
      </c>
      <c r="X753" s="513">
        <f>+(X125+X141+X187+X341+X377+X386+X469+X594)/$U$753</f>
        <v>0</v>
      </c>
      <c r="Y753" s="513">
        <f>+(Y125+Y141+Y187+Y341+Y377+Y386+Y469+Y594)/$U$753</f>
        <v>0</v>
      </c>
      <c r="Z753" s="514">
        <v>0.5814049103169483</v>
      </c>
      <c r="AA753" s="513">
        <v>0.91024599542334095</v>
      </c>
      <c r="AB753" s="513">
        <f>+(AB125+AB141+AB187+AB341+AB377+AB386+AB469+AB594)/$U$753</f>
        <v>0</v>
      </c>
      <c r="AC753" s="513">
        <f>+(AC125+AC141+AC187+AC341+AC377+AC386+AC469+AC594)/$U$753</f>
        <v>0</v>
      </c>
      <c r="AD753" s="47"/>
      <c r="AE753" s="48"/>
      <c r="AF753" s="48"/>
      <c r="AG753" s="48"/>
      <c r="AH753" s="48"/>
      <c r="AI753" s="48"/>
      <c r="AJ753" s="48"/>
      <c r="AK753" s="48"/>
      <c r="AL753" s="48"/>
      <c r="AM753" s="48"/>
      <c r="AN753" s="48"/>
      <c r="AO753" s="48"/>
      <c r="AP753" s="48"/>
      <c r="AQ753" s="48"/>
      <c r="AR753" s="48"/>
      <c r="AS753" s="48"/>
      <c r="AT753" s="32"/>
      <c r="AU753" s="48"/>
      <c r="AV753" s="48"/>
      <c r="AW753" s="48"/>
      <c r="AX753" s="48"/>
      <c r="AY753" s="48"/>
      <c r="AZ753" s="48"/>
      <c r="BA753" s="48"/>
      <c r="BB753" s="48"/>
      <c r="BC753" s="48"/>
      <c r="BD753" s="48"/>
      <c r="BE753" s="48"/>
      <c r="BF753" s="49"/>
    </row>
    <row r="754" spans="1:58" ht="15" hidden="1" customHeight="1" x14ac:dyDescent="0.25">
      <c r="A754" s="456"/>
      <c r="B754" s="457"/>
      <c r="C754" s="458"/>
      <c r="D754" s="82"/>
      <c r="E754" s="82"/>
      <c r="F754" s="46"/>
      <c r="G754" s="46"/>
      <c r="H754" s="46"/>
      <c r="I754" s="46"/>
      <c r="J754" s="83"/>
      <c r="K754" s="46"/>
      <c r="L754" s="46"/>
      <c r="M754" s="46"/>
      <c r="N754" s="46"/>
      <c r="O754" s="46"/>
      <c r="P754" s="46"/>
      <c r="Q754" s="633"/>
      <c r="R754" s="635" t="s">
        <v>1121</v>
      </c>
      <c r="S754" s="635"/>
      <c r="T754" s="509"/>
      <c r="U754" s="510"/>
      <c r="V754" s="515">
        <v>0.75</v>
      </c>
      <c r="W754" s="515">
        <v>1</v>
      </c>
      <c r="X754" s="515">
        <v>0.75</v>
      </c>
      <c r="Y754" s="515">
        <v>1</v>
      </c>
      <c r="Z754" s="516">
        <v>0.75</v>
      </c>
      <c r="AA754" s="515">
        <v>0.99999981250015624</v>
      </c>
      <c r="AB754" s="515">
        <v>0.75</v>
      </c>
      <c r="AC754" s="515">
        <v>0.99999985416675341</v>
      </c>
      <c r="AD754" s="47"/>
      <c r="AE754" s="47"/>
      <c r="AF754" s="47"/>
      <c r="AG754" s="47"/>
      <c r="AH754" s="47"/>
      <c r="AI754" s="47"/>
      <c r="AJ754" s="47"/>
      <c r="AK754" s="47"/>
      <c r="AL754" s="47"/>
      <c r="AM754" s="47"/>
      <c r="AN754" s="47"/>
      <c r="AO754" s="47"/>
      <c r="AP754" s="47"/>
      <c r="AQ754" s="47"/>
      <c r="AR754" s="47"/>
      <c r="AS754" s="47"/>
      <c r="AT754" s="32"/>
      <c r="AU754" s="48"/>
      <c r="AV754" s="48"/>
      <c r="AW754" s="48"/>
      <c r="AX754" s="48"/>
      <c r="AY754" s="48"/>
      <c r="AZ754" s="48"/>
      <c r="BA754" s="48"/>
      <c r="BB754" s="48"/>
      <c r="BC754" s="48"/>
      <c r="BD754" s="48"/>
      <c r="BE754" s="48"/>
      <c r="BF754" s="49"/>
    </row>
    <row r="755" spans="1:58" s="488" customFormat="1" ht="24.95" hidden="1" customHeight="1" x14ac:dyDescent="0.25">
      <c r="A755" s="475"/>
      <c r="B755" s="475"/>
      <c r="C755" s="476"/>
      <c r="D755" s="477"/>
      <c r="E755" s="477"/>
      <c r="F755" s="478"/>
      <c r="G755" s="478"/>
      <c r="H755" s="478"/>
      <c r="I755" s="478"/>
      <c r="J755" s="479"/>
      <c r="K755" s="478"/>
      <c r="L755" s="478"/>
      <c r="M755" s="478"/>
      <c r="N755" s="478"/>
      <c r="O755" s="478"/>
      <c r="P755" s="478"/>
      <c r="Q755" s="634"/>
      <c r="R755" s="636" t="s">
        <v>1122</v>
      </c>
      <c r="S755" s="636"/>
      <c r="T755" s="480"/>
      <c r="U755" s="481"/>
      <c r="V755" s="482">
        <v>0.7752065470892644</v>
      </c>
      <c r="W755" s="482">
        <v>0.96531250000000002</v>
      </c>
      <c r="X755" s="482">
        <f t="shared" ref="X755:Y755" si="562">+X753/X754</f>
        <v>0</v>
      </c>
      <c r="Y755" s="482">
        <f t="shared" si="562"/>
        <v>0</v>
      </c>
      <c r="Z755" s="483">
        <v>0.7752065470892644</v>
      </c>
      <c r="AA755" s="482">
        <v>0.91024616609435482</v>
      </c>
      <c r="AB755" s="482">
        <f t="shared" ref="AB755:AC755" si="563">+AB753/AB754</f>
        <v>0</v>
      </c>
      <c r="AC755" s="482">
        <f t="shared" si="563"/>
        <v>0</v>
      </c>
      <c r="AD755" s="484"/>
      <c r="AE755" s="485"/>
      <c r="AF755" s="485"/>
      <c r="AG755" s="485"/>
      <c r="AH755" s="485"/>
      <c r="AI755" s="485"/>
      <c r="AJ755" s="485"/>
      <c r="AK755" s="485"/>
      <c r="AL755" s="485"/>
      <c r="AM755" s="485"/>
      <c r="AN755" s="485"/>
      <c r="AO755" s="485"/>
      <c r="AP755" s="485"/>
      <c r="AQ755" s="485"/>
      <c r="AR755" s="485"/>
      <c r="AS755" s="485"/>
      <c r="AT755" s="486"/>
      <c r="AU755" s="485"/>
      <c r="AV755" s="485"/>
      <c r="AW755" s="485"/>
      <c r="AX755" s="485"/>
      <c r="AY755" s="485"/>
      <c r="AZ755" s="485"/>
      <c r="BA755" s="485"/>
      <c r="BB755" s="485"/>
      <c r="BC755" s="485"/>
      <c r="BD755" s="485"/>
      <c r="BE755" s="485"/>
      <c r="BF755" s="487"/>
    </row>
    <row r="756" spans="1:58" ht="15" hidden="1" customHeight="1" x14ac:dyDescent="0.25">
      <c r="A756" s="456"/>
      <c r="B756" s="457"/>
      <c r="C756" s="458"/>
      <c r="D756" s="82"/>
      <c r="E756" s="82"/>
      <c r="F756" s="46"/>
      <c r="G756" s="46"/>
      <c r="H756" s="46"/>
      <c r="I756" s="46"/>
      <c r="J756" s="83"/>
      <c r="K756" s="46"/>
      <c r="L756" s="46"/>
      <c r="M756" s="46"/>
      <c r="N756" s="46"/>
      <c r="O756" s="46"/>
      <c r="P756" s="46"/>
      <c r="Q756" s="632" t="str">
        <f>+AS683</f>
        <v>EFECTIVIDAD</v>
      </c>
      <c r="R756" s="638" t="s">
        <v>1120</v>
      </c>
      <c r="S756" s="638"/>
      <c r="T756" s="489">
        <f>+U756/U759</f>
        <v>0.1357142857142857</v>
      </c>
      <c r="U756" s="490">
        <f>+AS712</f>
        <v>19</v>
      </c>
      <c r="V756" s="513">
        <v>0.58334057194003663</v>
      </c>
      <c r="W756" s="513">
        <v>0.75516908212560385</v>
      </c>
      <c r="X756" s="513">
        <f>+(X58+X169+X181+X233+X291+X353+X438+X472+X521+X524+X533+X573+X582+X585+X692)/$U$756</f>
        <v>0</v>
      </c>
      <c r="Y756" s="513">
        <f>+(Y58+Y169+Y181+Y233+Y291+Y353+Y438+Y472+Y521+Y524+Y533+Y573+Y582+Y585+Y692)/$U$756</f>
        <v>0</v>
      </c>
      <c r="Z756" s="514">
        <v>0.58334057194003663</v>
      </c>
      <c r="AA756" s="513">
        <v>0.77704833455723132</v>
      </c>
      <c r="AB756" s="513">
        <f>+(AB58+AB169+AB181+AB233+AB291+AB353+AB438+AB472+AB521+AB524+AB533+AB573+AB582+AB585+AB692)/$U$756</f>
        <v>0</v>
      </c>
      <c r="AC756" s="513">
        <f>+(AC58+AC169+AC181+AC233+AC291+AC353+AC438+AC472+AC521+AC524+AC533+AC573+AC582+AC585+AC692)/$U$756</f>
        <v>0</v>
      </c>
      <c r="AD756" s="47"/>
      <c r="AE756" s="47"/>
      <c r="AF756" s="47"/>
      <c r="AG756" s="47"/>
      <c r="AH756" s="47"/>
      <c r="AI756" s="47"/>
      <c r="AJ756" s="47"/>
      <c r="AK756" s="47"/>
      <c r="AL756" s="47"/>
      <c r="AM756" s="47"/>
      <c r="AN756" s="47"/>
      <c r="AO756" s="47"/>
      <c r="AP756" s="47"/>
      <c r="AQ756" s="47"/>
      <c r="AR756" s="47"/>
      <c r="AS756" s="47"/>
      <c r="AT756" s="32"/>
      <c r="AU756" s="48"/>
      <c r="AV756" s="48"/>
      <c r="AW756" s="48"/>
      <c r="AX756" s="48"/>
      <c r="AY756" s="48"/>
      <c r="AZ756" s="48"/>
      <c r="BA756" s="48"/>
      <c r="BB756" s="48"/>
      <c r="BC756" s="48"/>
      <c r="BD756" s="48"/>
      <c r="BE756" s="48"/>
      <c r="BF756" s="49"/>
    </row>
    <row r="757" spans="1:58" ht="15" hidden="1" customHeight="1" x14ac:dyDescent="0.25">
      <c r="A757" s="456"/>
      <c r="B757" s="457"/>
      <c r="C757" s="458"/>
      <c r="D757" s="82"/>
      <c r="E757" s="82"/>
      <c r="F757" s="46"/>
      <c r="G757" s="46"/>
      <c r="H757" s="46"/>
      <c r="I757" s="46"/>
      <c r="J757" s="83"/>
      <c r="K757" s="46"/>
      <c r="L757" s="46"/>
      <c r="M757" s="46"/>
      <c r="N757" s="46"/>
      <c r="O757" s="46"/>
      <c r="P757" s="46"/>
      <c r="Q757" s="633"/>
      <c r="R757" s="635" t="s">
        <v>1121</v>
      </c>
      <c r="S757" s="635"/>
      <c r="T757" s="517"/>
      <c r="U757" s="518"/>
      <c r="V757" s="511">
        <v>0.6</v>
      </c>
      <c r="W757" s="511">
        <v>0.8666666666666667</v>
      </c>
      <c r="X757" s="511">
        <v>0.66666666666666663</v>
      </c>
      <c r="Y757" s="511">
        <v>1</v>
      </c>
      <c r="Z757" s="512">
        <v>0.6</v>
      </c>
      <c r="AA757" s="511">
        <v>0.8666666666666667</v>
      </c>
      <c r="AB757" s="511">
        <v>0.66666666666666663</v>
      </c>
      <c r="AC757" s="511">
        <v>1</v>
      </c>
      <c r="AD757" s="484"/>
      <c r="AE757" s="485"/>
      <c r="AF757" s="485"/>
      <c r="AG757" s="485"/>
      <c r="AH757" s="485"/>
      <c r="AI757" s="485"/>
      <c r="AJ757" s="485"/>
      <c r="AK757" s="485"/>
      <c r="AL757" s="485"/>
      <c r="AM757" s="485"/>
      <c r="AN757" s="485"/>
      <c r="AO757" s="485"/>
      <c r="AP757" s="485"/>
      <c r="AQ757" s="485"/>
      <c r="AR757" s="485"/>
      <c r="AS757" s="485"/>
      <c r="AT757" s="32"/>
      <c r="AU757" s="48"/>
      <c r="AV757" s="48"/>
      <c r="AW757" s="48"/>
      <c r="AX757" s="48"/>
      <c r="AY757" s="48"/>
      <c r="AZ757" s="48"/>
      <c r="BA757" s="48"/>
      <c r="BB757" s="48"/>
      <c r="BC757" s="48"/>
      <c r="BD757" s="48"/>
      <c r="BE757" s="48"/>
      <c r="BF757" s="49"/>
    </row>
    <row r="758" spans="1:58" s="488" customFormat="1" ht="24.95" hidden="1" customHeight="1" thickBot="1" x14ac:dyDescent="0.3">
      <c r="A758" s="475"/>
      <c r="B758" s="475"/>
      <c r="C758" s="476"/>
      <c r="D758" s="477"/>
      <c r="E758" s="477"/>
      <c r="F758" s="478"/>
      <c r="G758" s="478"/>
      <c r="H758" s="478"/>
      <c r="I758" s="478"/>
      <c r="J758" s="479"/>
      <c r="K758" s="478"/>
      <c r="L758" s="478"/>
      <c r="M758" s="478"/>
      <c r="N758" s="478"/>
      <c r="O758" s="478"/>
      <c r="P758" s="478"/>
      <c r="Q758" s="637"/>
      <c r="R758" s="639" t="s">
        <v>1122</v>
      </c>
      <c r="S758" s="639"/>
      <c r="T758" s="497"/>
      <c r="U758" s="498"/>
      <c r="V758" s="482">
        <v>0.97223428656672772</v>
      </c>
      <c r="W758" s="482">
        <v>0.87134894091415827</v>
      </c>
      <c r="X758" s="482">
        <f t="shared" ref="X758:Y758" si="564">+X756/X757</f>
        <v>0</v>
      </c>
      <c r="Y758" s="482">
        <f t="shared" si="564"/>
        <v>0</v>
      </c>
      <c r="Z758" s="483">
        <v>0.97223428656672772</v>
      </c>
      <c r="AA758" s="482">
        <v>0.89659423218142076</v>
      </c>
      <c r="AB758" s="482">
        <f t="shared" ref="AB758:AC758" si="565">+AB756/AB757</f>
        <v>0</v>
      </c>
      <c r="AC758" s="482">
        <f t="shared" si="565"/>
        <v>0</v>
      </c>
      <c r="AD758" s="47"/>
      <c r="AE758" s="48"/>
      <c r="AF758" s="48"/>
      <c r="AG758" s="48"/>
      <c r="AH758" s="48"/>
      <c r="AI758" s="48"/>
      <c r="AJ758" s="48"/>
      <c r="AK758" s="48"/>
      <c r="AL758" s="48"/>
      <c r="AM758" s="48"/>
      <c r="AN758" s="48"/>
      <c r="AO758" s="48"/>
      <c r="AP758" s="48"/>
      <c r="AQ758" s="48"/>
      <c r="AR758" s="48"/>
      <c r="AS758" s="48"/>
      <c r="AT758" s="486"/>
      <c r="AU758" s="485"/>
      <c r="AV758" s="485"/>
      <c r="AW758" s="485"/>
      <c r="AX758" s="485"/>
      <c r="AY758" s="485"/>
      <c r="AZ758" s="485"/>
      <c r="BA758" s="485"/>
      <c r="BB758" s="485"/>
      <c r="BC758" s="485"/>
      <c r="BD758" s="485"/>
      <c r="BE758" s="485"/>
      <c r="BF758" s="487"/>
    </row>
    <row r="759" spans="1:58" ht="18" hidden="1" customHeight="1" x14ac:dyDescent="0.25">
      <c r="A759" s="456"/>
      <c r="B759" s="457"/>
      <c r="C759" s="458"/>
      <c r="D759" s="82"/>
      <c r="E759" s="82"/>
      <c r="F759" s="46"/>
      <c r="G759" s="46"/>
      <c r="H759" s="46"/>
      <c r="I759" s="46"/>
      <c r="J759" s="83"/>
      <c r="K759" s="46"/>
      <c r="L759" s="46"/>
      <c r="M759" s="46"/>
      <c r="N759" s="46"/>
      <c r="O759" s="46"/>
      <c r="P759" s="46"/>
      <c r="Q759" s="619" t="s">
        <v>1123</v>
      </c>
      <c r="R759" s="621" t="s">
        <v>1120</v>
      </c>
      <c r="S759" s="621"/>
      <c r="T759" s="622">
        <v>1</v>
      </c>
      <c r="U759" s="624">
        <f>+U750+U753+U756</f>
        <v>140</v>
      </c>
      <c r="V759" s="501">
        <v>0.57532288166509038</v>
      </c>
      <c r="W759" s="501">
        <v>0.81619335696076423</v>
      </c>
      <c r="X759" s="501" t="e">
        <f t="shared" ref="X759:AC759" si="566">+(X750*$T$730)+(X753*$T$733)+(X756*$T$736)</f>
        <v>#REF!</v>
      </c>
      <c r="Y759" s="501" t="e">
        <f t="shared" si="566"/>
        <v>#REF!</v>
      </c>
      <c r="Z759" s="502">
        <v>0.57532288166509038</v>
      </c>
      <c r="AA759" s="501">
        <v>0.82203019470473004</v>
      </c>
      <c r="AB759" s="501" t="e">
        <f t="shared" si="566"/>
        <v>#REF!</v>
      </c>
      <c r="AC759" s="501" t="e">
        <f t="shared" si="566"/>
        <v>#REF!</v>
      </c>
      <c r="AD759" s="47"/>
      <c r="AE759" s="47"/>
      <c r="AF759" s="47"/>
      <c r="AG759" s="47"/>
      <c r="AH759" s="47"/>
      <c r="AI759" s="47"/>
      <c r="AJ759" s="47"/>
      <c r="AK759" s="47"/>
      <c r="AL759" s="47"/>
      <c r="AM759" s="47"/>
      <c r="AN759" s="47"/>
      <c r="AO759" s="47"/>
      <c r="AP759" s="47"/>
      <c r="AQ759" s="47"/>
      <c r="AR759" s="47"/>
      <c r="AS759" s="47"/>
      <c r="AT759" s="32"/>
      <c r="AU759" s="48"/>
      <c r="AV759" s="48"/>
      <c r="AW759" s="48"/>
      <c r="AX759" s="48"/>
      <c r="AY759" s="48"/>
      <c r="AZ759" s="48"/>
      <c r="BA759" s="48"/>
      <c r="BB759" s="48"/>
      <c r="BC759" s="48"/>
      <c r="BD759" s="48"/>
      <c r="BE759" s="48"/>
      <c r="BF759" s="49"/>
    </row>
    <row r="760" spans="1:58" s="95" customFormat="1" ht="18" hidden="1" customHeight="1" thickBot="1" x14ac:dyDescent="0.3">
      <c r="A760" s="468"/>
      <c r="B760" s="469"/>
      <c r="C760" s="458"/>
      <c r="D760" s="82"/>
      <c r="E760" s="82"/>
      <c r="F760" s="73"/>
      <c r="G760" s="73"/>
      <c r="H760" s="73"/>
      <c r="I760" s="73"/>
      <c r="J760" s="470"/>
      <c r="K760" s="73"/>
      <c r="L760" s="73"/>
      <c r="M760" s="73"/>
      <c r="N760" s="73"/>
      <c r="O760" s="73"/>
      <c r="P760" s="73"/>
      <c r="Q760" s="620"/>
      <c r="R760" s="626" t="s">
        <v>1121</v>
      </c>
      <c r="S760" s="626"/>
      <c r="T760" s="623"/>
      <c r="U760" s="624"/>
      <c r="V760" s="503">
        <v>0.64691615003178293</v>
      </c>
      <c r="W760" s="503">
        <v>0.89703176061821732</v>
      </c>
      <c r="X760" s="503">
        <f t="shared" ref="X760:AC760" si="567">+(X751*$T$750)+(X754*$T$753)+(X757*$T$756)</f>
        <v>0.7261864383967267</v>
      </c>
      <c r="Y760" s="503">
        <f t="shared" si="567"/>
        <v>0.87856496281103491</v>
      </c>
      <c r="Z760" s="504">
        <v>0.64691615003178293</v>
      </c>
      <c r="AA760" s="503">
        <v>0.91159282317365464</v>
      </c>
      <c r="AB760" s="503">
        <f t="shared" si="567"/>
        <v>0.86888688162393568</v>
      </c>
      <c r="AC760" s="503">
        <f t="shared" si="567"/>
        <v>0.99990413306642112</v>
      </c>
      <c r="AD760" s="484"/>
      <c r="AE760" s="485"/>
      <c r="AF760" s="485"/>
      <c r="AG760" s="485"/>
      <c r="AH760" s="485"/>
      <c r="AI760" s="485"/>
      <c r="AJ760" s="485"/>
      <c r="AK760" s="485"/>
      <c r="AL760" s="485"/>
      <c r="AM760" s="485"/>
      <c r="AN760" s="485"/>
      <c r="AO760" s="485"/>
      <c r="AP760" s="485"/>
      <c r="AQ760" s="485"/>
      <c r="AR760" s="485"/>
      <c r="AS760" s="485"/>
      <c r="AT760" s="32"/>
      <c r="AU760" s="47"/>
      <c r="AV760" s="47"/>
      <c r="AW760" s="47"/>
      <c r="AX760" s="47"/>
      <c r="AY760" s="47"/>
      <c r="AZ760" s="47"/>
      <c r="BA760" s="47"/>
      <c r="BB760" s="47"/>
      <c r="BC760" s="47"/>
      <c r="BD760" s="47"/>
      <c r="BE760" s="47"/>
      <c r="BF760" s="94"/>
    </row>
    <row r="761" spans="1:58" ht="18" hidden="1" customHeight="1" x14ac:dyDescent="0.25">
      <c r="A761" s="456"/>
      <c r="B761" s="457"/>
      <c r="C761" s="458"/>
      <c r="D761" s="82"/>
      <c r="E761" s="82"/>
      <c r="F761" s="46"/>
      <c r="G761" s="46"/>
      <c r="H761" s="46"/>
      <c r="I761" s="46"/>
      <c r="J761" s="83"/>
      <c r="K761" s="46"/>
      <c r="L761" s="46"/>
      <c r="M761" s="46"/>
      <c r="N761" s="46"/>
      <c r="O761" s="46"/>
      <c r="P761" s="46"/>
      <c r="Q761" s="627" t="s">
        <v>1124</v>
      </c>
      <c r="R761" s="621" t="s">
        <v>1120</v>
      </c>
      <c r="S761" s="621"/>
      <c r="T761" s="629" t="s">
        <v>1125</v>
      </c>
      <c r="U761" s="624"/>
      <c r="V761" s="505">
        <v>0.57822699000717204</v>
      </c>
      <c r="W761" s="505">
        <v>0.82751511140053058</v>
      </c>
      <c r="X761" s="505" t="e">
        <f t="shared" ref="X761:AC762" si="568">AVERAGE(X750,X753,X756)</f>
        <v>#REF!</v>
      </c>
      <c r="Y761" s="505" t="e">
        <f t="shared" si="568"/>
        <v>#REF!</v>
      </c>
      <c r="Z761" s="506">
        <v>0.57822699000717204</v>
      </c>
      <c r="AA761" s="505">
        <v>0.82666342996880193</v>
      </c>
      <c r="AB761" s="505" t="e">
        <f t="shared" si="568"/>
        <v>#REF!</v>
      </c>
      <c r="AC761" s="505" t="e">
        <f t="shared" si="568"/>
        <v>#REF!</v>
      </c>
      <c r="AD761" s="47"/>
      <c r="AE761" s="47"/>
      <c r="AF761" s="47"/>
      <c r="AG761" s="47"/>
      <c r="AH761" s="47"/>
      <c r="AI761" s="47"/>
      <c r="AJ761" s="47"/>
      <c r="AK761" s="47"/>
      <c r="AL761" s="47"/>
      <c r="AM761" s="47"/>
      <c r="AN761" s="47"/>
      <c r="AO761" s="47"/>
      <c r="AP761" s="47"/>
      <c r="AQ761" s="47"/>
      <c r="AR761" s="47"/>
      <c r="AS761" s="47"/>
      <c r="AT761" s="32"/>
      <c r="AU761" s="48"/>
      <c r="AV761" s="48"/>
      <c r="AW761" s="48"/>
      <c r="AX761" s="48"/>
      <c r="AY761" s="48"/>
      <c r="AZ761" s="48"/>
      <c r="BA761" s="48"/>
      <c r="BB761" s="48"/>
      <c r="BC761" s="48"/>
      <c r="BD761" s="48"/>
      <c r="BE761" s="48"/>
      <c r="BF761" s="49"/>
    </row>
    <row r="762" spans="1:58" s="95" customFormat="1" ht="18" hidden="1" customHeight="1" thickBot="1" x14ac:dyDescent="0.3">
      <c r="A762" s="468"/>
      <c r="B762" s="469"/>
      <c r="C762" s="458"/>
      <c r="D762" s="82"/>
      <c r="E762" s="82"/>
      <c r="F762" s="73"/>
      <c r="G762" s="73"/>
      <c r="H762" s="73"/>
      <c r="I762" s="73"/>
      <c r="J762" s="470"/>
      <c r="K762" s="73"/>
      <c r="L762" s="73"/>
      <c r="M762" s="73"/>
      <c r="N762" s="73"/>
      <c r="O762" s="73"/>
      <c r="P762" s="73"/>
      <c r="Q762" s="628"/>
      <c r="R762" s="631" t="s">
        <v>1121</v>
      </c>
      <c r="S762" s="631"/>
      <c r="T762" s="630"/>
      <c r="U762" s="625"/>
      <c r="V762" s="507">
        <v>0.66528199529298659</v>
      </c>
      <c r="W762" s="507">
        <v>0.92014646836994363</v>
      </c>
      <c r="X762" s="507">
        <f t="shared" si="568"/>
        <v>0.71705831280887422</v>
      </c>
      <c r="Y762" s="507">
        <f t="shared" si="568"/>
        <v>0.94984983714909987</v>
      </c>
      <c r="Z762" s="508">
        <v>0.66528199529298659</v>
      </c>
      <c r="AA762" s="507">
        <v>0.92598801651170126</v>
      </c>
      <c r="AB762" s="507">
        <f t="shared" si="568"/>
        <v>0.77599064924488992</v>
      </c>
      <c r="AC762" s="507">
        <f t="shared" si="568"/>
        <v>0.99996036376639541</v>
      </c>
      <c r="AD762" s="484"/>
      <c r="AE762" s="485"/>
      <c r="AF762" s="485"/>
      <c r="AG762" s="485"/>
      <c r="AH762" s="485"/>
      <c r="AI762" s="485"/>
      <c r="AJ762" s="485"/>
      <c r="AK762" s="485"/>
      <c r="AL762" s="485"/>
      <c r="AM762" s="485"/>
      <c r="AN762" s="485"/>
      <c r="AO762" s="485"/>
      <c r="AP762" s="485"/>
      <c r="AQ762" s="485"/>
      <c r="AR762" s="485"/>
      <c r="AS762" s="485"/>
      <c r="AT762" s="32"/>
      <c r="AU762" s="47"/>
      <c r="AV762" s="47"/>
      <c r="AW762" s="47"/>
      <c r="AX762" s="47"/>
      <c r="AY762" s="47"/>
      <c r="AZ762" s="47"/>
      <c r="BA762" s="47"/>
      <c r="BB762" s="47"/>
      <c r="BC762" s="47"/>
      <c r="BD762" s="47"/>
      <c r="BE762" s="47"/>
      <c r="BF762" s="94"/>
    </row>
    <row r="763" spans="1:58" ht="15" hidden="1" customHeight="1" x14ac:dyDescent="0.25">
      <c r="A763" s="456"/>
      <c r="B763" s="457"/>
      <c r="C763" s="458"/>
      <c r="D763" s="82"/>
      <c r="E763" s="82"/>
      <c r="F763" s="46"/>
      <c r="G763" s="46"/>
      <c r="H763" s="46"/>
      <c r="I763" s="46"/>
      <c r="J763" s="83"/>
      <c r="K763" s="46"/>
      <c r="L763" s="46"/>
      <c r="M763" s="46"/>
      <c r="N763" s="46"/>
      <c r="O763" s="46"/>
      <c r="P763" s="46"/>
      <c r="Q763" s="46"/>
      <c r="R763" s="46"/>
      <c r="S763" s="46"/>
      <c r="T763" s="46"/>
      <c r="U763" s="46"/>
      <c r="V763" s="73"/>
      <c r="W763" s="73"/>
      <c r="X763" s="73"/>
      <c r="Y763" s="73"/>
      <c r="Z763" s="46"/>
      <c r="AA763" s="46"/>
      <c r="AB763" s="46"/>
      <c r="AC763" s="46"/>
      <c r="AD763" s="47"/>
      <c r="AE763" s="48"/>
      <c r="AF763" s="48"/>
      <c r="AG763" s="48"/>
      <c r="AH763" s="48"/>
      <c r="AI763" s="48"/>
      <c r="AJ763" s="48"/>
      <c r="AK763" s="48"/>
      <c r="AL763" s="48"/>
      <c r="AM763" s="48"/>
      <c r="AN763" s="48"/>
      <c r="AO763" s="48"/>
      <c r="AP763" s="48"/>
      <c r="AQ763" s="48"/>
      <c r="AR763" s="48"/>
      <c r="AS763" s="48"/>
      <c r="AT763" s="32"/>
      <c r="AU763" s="48"/>
      <c r="AV763" s="48"/>
      <c r="AW763" s="48"/>
      <c r="AX763" s="48"/>
      <c r="AY763" s="48"/>
      <c r="AZ763" s="48"/>
      <c r="BA763" s="48"/>
      <c r="BB763" s="48"/>
      <c r="BC763" s="48"/>
      <c r="BD763" s="48"/>
      <c r="BE763" s="48"/>
      <c r="BF763" s="49"/>
    </row>
    <row r="764" spans="1:58" ht="15" customHeight="1" x14ac:dyDescent="0.25">
      <c r="A764" s="456"/>
      <c r="B764" s="457"/>
      <c r="C764" s="458"/>
      <c r="D764" s="82"/>
      <c r="E764" s="82"/>
      <c r="F764" s="46"/>
      <c r="G764" s="46"/>
      <c r="H764" s="46"/>
      <c r="I764" s="46"/>
      <c r="J764" s="83"/>
      <c r="K764" s="46"/>
      <c r="L764" s="46"/>
      <c r="M764" s="46"/>
      <c r="N764" s="46"/>
      <c r="O764" s="46"/>
      <c r="P764" s="46"/>
      <c r="Q764" s="46"/>
      <c r="R764" s="46"/>
      <c r="S764" s="46"/>
      <c r="T764" s="46"/>
      <c r="U764" s="46"/>
      <c r="V764" s="73"/>
      <c r="W764" s="73"/>
      <c r="X764" s="73"/>
      <c r="Y764" s="73"/>
      <c r="Z764" s="46"/>
      <c r="AA764" s="46"/>
      <c r="AB764" s="46"/>
      <c r="AC764" s="46"/>
      <c r="AD764" s="47"/>
      <c r="AE764" s="47"/>
      <c r="AF764" s="47"/>
      <c r="AG764" s="47"/>
      <c r="AH764" s="47"/>
      <c r="AI764" s="47"/>
      <c r="AJ764" s="47"/>
      <c r="AK764" s="47"/>
      <c r="AL764" s="47"/>
      <c r="AM764" s="47"/>
      <c r="AN764" s="47"/>
      <c r="AO764" s="47"/>
      <c r="AP764" s="47"/>
      <c r="AQ764" s="47"/>
      <c r="AR764" s="47"/>
      <c r="AS764" s="47"/>
      <c r="AT764" s="32"/>
      <c r="AU764" s="48"/>
      <c r="AV764" s="48"/>
      <c r="AW764" s="48"/>
      <c r="AX764" s="48"/>
      <c r="AY764" s="48"/>
      <c r="AZ764" s="48"/>
      <c r="BA764" s="48"/>
      <c r="BB764" s="48"/>
      <c r="BC764" s="48"/>
      <c r="BD764" s="48"/>
      <c r="BE764" s="48"/>
      <c r="BF764" s="49"/>
    </row>
    <row r="765" spans="1:58" ht="15" customHeight="1" x14ac:dyDescent="0.25">
      <c r="A765" s="456"/>
      <c r="B765" s="457"/>
      <c r="C765" s="458"/>
      <c r="D765" s="82"/>
      <c r="E765" s="82"/>
      <c r="F765" s="46"/>
      <c r="G765" s="46"/>
      <c r="H765" s="46"/>
      <c r="I765" s="46"/>
      <c r="J765" s="83"/>
      <c r="K765" s="46"/>
      <c r="L765" s="46"/>
      <c r="M765" s="46"/>
      <c r="N765" s="46"/>
      <c r="O765" s="46"/>
      <c r="P765" s="46"/>
      <c r="Q765" s="46"/>
      <c r="R765" s="46"/>
      <c r="S765" s="46"/>
      <c r="T765" s="46"/>
      <c r="U765" s="46"/>
      <c r="V765" s="73"/>
      <c r="W765" s="73"/>
      <c r="X765" s="73"/>
      <c r="Y765" s="73"/>
      <c r="Z765" s="46"/>
      <c r="AA765" s="46"/>
      <c r="AB765" s="46"/>
      <c r="AC765" s="46"/>
      <c r="AD765" s="47"/>
      <c r="AE765" s="48"/>
      <c r="AF765" s="48"/>
      <c r="AG765" s="48"/>
      <c r="AH765" s="48"/>
      <c r="AI765" s="48"/>
      <c r="AJ765" s="48"/>
      <c r="AK765" s="48"/>
      <c r="AL765" s="48"/>
      <c r="AM765" s="48"/>
      <c r="AN765" s="48"/>
      <c r="AO765" s="48"/>
      <c r="AP765" s="48"/>
      <c r="AQ765" s="48"/>
      <c r="AR765" s="48"/>
      <c r="AS765" s="48"/>
      <c r="AT765" s="32"/>
      <c r="AU765" s="48"/>
      <c r="AV765" s="48"/>
      <c r="AW765" s="48"/>
      <c r="AX765" s="48"/>
      <c r="AY765" s="48"/>
      <c r="AZ765" s="48"/>
      <c r="BA765" s="48"/>
      <c r="BB765" s="48"/>
      <c r="BC765" s="48"/>
      <c r="BD765" s="48"/>
      <c r="BE765" s="48"/>
      <c r="BF765" s="49"/>
    </row>
    <row r="766" spans="1:58" ht="15" customHeight="1" x14ac:dyDescent="0.25">
      <c r="A766" s="456"/>
      <c r="B766" s="457"/>
      <c r="C766" s="458"/>
      <c r="D766" s="82"/>
      <c r="E766" s="82"/>
      <c r="F766" s="46"/>
      <c r="G766" s="46"/>
      <c r="H766" s="46"/>
      <c r="I766" s="46"/>
      <c r="J766" s="83"/>
      <c r="K766" s="46"/>
      <c r="L766" s="46"/>
      <c r="M766" s="46"/>
      <c r="N766" s="46"/>
      <c r="O766" s="46"/>
      <c r="P766" s="46"/>
      <c r="Q766" s="46"/>
      <c r="R766" s="46"/>
      <c r="S766" s="46"/>
      <c r="T766" s="46"/>
      <c r="U766" s="46"/>
      <c r="V766" s="73"/>
      <c r="W766" s="73"/>
      <c r="X766" s="73"/>
      <c r="Y766" s="73"/>
      <c r="Z766" s="46"/>
      <c r="AA766" s="46"/>
      <c r="AB766" s="46"/>
      <c r="AC766" s="46"/>
      <c r="AD766" s="47"/>
      <c r="AE766" s="48"/>
      <c r="AF766" s="48"/>
      <c r="AG766" s="48"/>
      <c r="AH766" s="48"/>
      <c r="AI766" s="48"/>
      <c r="AJ766" s="48"/>
      <c r="AK766" s="48"/>
      <c r="AL766" s="48"/>
      <c r="AM766" s="48"/>
      <c r="AN766" s="48"/>
      <c r="AO766" s="48"/>
      <c r="AP766" s="48"/>
      <c r="AQ766" s="48"/>
      <c r="AR766" s="48"/>
      <c r="AS766" s="48"/>
      <c r="AT766" s="32"/>
      <c r="AU766" s="48"/>
      <c r="AV766" s="48"/>
      <c r="AW766" s="48"/>
      <c r="AX766" s="48"/>
      <c r="AY766" s="48"/>
      <c r="AZ766" s="48"/>
      <c r="BA766" s="48"/>
      <c r="BB766" s="48"/>
      <c r="BC766" s="48"/>
      <c r="BD766" s="48"/>
      <c r="BE766" s="48"/>
      <c r="BF766" s="49"/>
    </row>
    <row r="767" spans="1:58" ht="15" customHeight="1" x14ac:dyDescent="0.25">
      <c r="A767" s="456"/>
      <c r="B767" s="457"/>
      <c r="C767" s="458"/>
      <c r="D767" s="82"/>
      <c r="E767" s="82"/>
      <c r="F767" s="46"/>
      <c r="G767" s="46"/>
      <c r="H767" s="46"/>
      <c r="I767" s="46"/>
      <c r="J767" s="83"/>
      <c r="K767" s="46"/>
      <c r="L767" s="46"/>
      <c r="M767" s="46"/>
      <c r="N767" s="46"/>
      <c r="O767" s="46"/>
      <c r="P767" s="46"/>
      <c r="Q767" s="46"/>
      <c r="R767" s="46"/>
      <c r="S767" s="46"/>
      <c r="T767" s="46"/>
      <c r="U767" s="46"/>
      <c r="V767" s="73"/>
      <c r="W767" s="73"/>
      <c r="X767" s="73"/>
      <c r="Y767" s="73"/>
      <c r="Z767" s="46"/>
      <c r="AA767" s="46"/>
      <c r="AB767" s="46"/>
      <c r="AC767" s="46"/>
      <c r="AD767" s="47"/>
      <c r="AE767" s="48"/>
      <c r="AF767" s="48"/>
      <c r="AG767" s="48"/>
      <c r="AH767" s="48"/>
      <c r="AI767" s="48"/>
      <c r="AJ767" s="48"/>
      <c r="AK767" s="48"/>
      <c r="AL767" s="48"/>
      <c r="AM767" s="48"/>
      <c r="AN767" s="48"/>
      <c r="AO767" s="48"/>
      <c r="AP767" s="48"/>
      <c r="AQ767" s="48"/>
      <c r="AR767" s="48"/>
      <c r="AS767" s="48"/>
      <c r="AT767" s="32"/>
      <c r="AU767" s="48"/>
      <c r="AV767" s="48"/>
      <c r="AW767" s="48"/>
      <c r="AX767" s="48"/>
      <c r="AY767" s="48"/>
      <c r="AZ767" s="48"/>
      <c r="BA767" s="48"/>
      <c r="BB767" s="48"/>
      <c r="BC767" s="48"/>
      <c r="BD767" s="48"/>
      <c r="BE767" s="48"/>
      <c r="BF767" s="49"/>
    </row>
    <row r="768" spans="1:58" ht="15" customHeight="1" x14ac:dyDescent="0.25">
      <c r="A768" s="456"/>
      <c r="B768" s="457"/>
      <c r="C768" s="458"/>
      <c r="D768" s="82"/>
      <c r="E768" s="82"/>
      <c r="F768" s="46"/>
      <c r="G768" s="46"/>
      <c r="H768" s="46"/>
      <c r="I768" s="46"/>
      <c r="J768" s="83"/>
      <c r="K768" s="46"/>
      <c r="L768" s="46"/>
      <c r="M768" s="46"/>
      <c r="N768" s="46"/>
      <c r="O768" s="46"/>
      <c r="P768" s="46"/>
      <c r="Q768" s="46"/>
      <c r="R768" s="46"/>
      <c r="S768" s="46"/>
      <c r="T768" s="46"/>
      <c r="U768" s="46"/>
      <c r="V768" s="73"/>
      <c r="W768" s="73"/>
      <c r="X768" s="73"/>
      <c r="Y768" s="73"/>
      <c r="Z768" s="46"/>
      <c r="AA768" s="46"/>
      <c r="AB768" s="46"/>
      <c r="AC768" s="46"/>
      <c r="AD768" s="47"/>
      <c r="AE768" s="48"/>
      <c r="AF768" s="48"/>
      <c r="AG768" s="48"/>
      <c r="AH768" s="48"/>
      <c r="AI768" s="48"/>
      <c r="AJ768" s="48"/>
      <c r="AK768" s="48"/>
      <c r="AL768" s="48"/>
      <c r="AM768" s="48"/>
      <c r="AN768" s="48"/>
      <c r="AO768" s="48"/>
      <c r="AP768" s="48"/>
      <c r="AQ768" s="48"/>
      <c r="AR768" s="48"/>
      <c r="AS768" s="48"/>
      <c r="AT768" s="32"/>
      <c r="AU768" s="48"/>
      <c r="AV768" s="48"/>
      <c r="AW768" s="48"/>
      <c r="AX768" s="48"/>
      <c r="AY768" s="48"/>
      <c r="AZ768" s="48"/>
      <c r="BA768" s="48"/>
      <c r="BB768" s="48"/>
      <c r="BC768" s="48"/>
      <c r="BD768" s="48"/>
      <c r="BE768" s="48"/>
      <c r="BF768" s="49"/>
    </row>
    <row r="769" spans="1:58" ht="15" customHeight="1" x14ac:dyDescent="0.25">
      <c r="A769" s="456"/>
      <c r="B769" s="457"/>
      <c r="C769" s="458"/>
      <c r="D769" s="82"/>
      <c r="E769" s="82"/>
      <c r="F769" s="46"/>
      <c r="G769" s="46"/>
      <c r="H769" s="46"/>
      <c r="I769" s="46"/>
      <c r="J769" s="83"/>
      <c r="K769" s="46"/>
      <c r="L769" s="46"/>
      <c r="M769" s="46"/>
      <c r="N769" s="46"/>
      <c r="O769" s="46"/>
      <c r="P769" s="46"/>
      <c r="Q769" s="46"/>
      <c r="R769" s="46"/>
      <c r="S769" s="46"/>
      <c r="T769" s="46"/>
      <c r="U769" s="46"/>
      <c r="V769" s="73"/>
      <c r="W769" s="73"/>
      <c r="X769" s="73"/>
      <c r="Y769" s="73"/>
      <c r="Z769" s="46"/>
      <c r="AA769" s="46"/>
      <c r="AB769" s="46"/>
      <c r="AC769" s="46"/>
      <c r="AD769" s="47"/>
      <c r="AE769" s="48"/>
      <c r="AF769" s="48"/>
      <c r="AG769" s="48"/>
      <c r="AH769" s="48"/>
      <c r="AI769" s="48"/>
      <c r="AJ769" s="48"/>
      <c r="AK769" s="48"/>
      <c r="AL769" s="48"/>
      <c r="AM769" s="48"/>
      <c r="AN769" s="48"/>
      <c r="AO769" s="48"/>
      <c r="AP769" s="48"/>
      <c r="AQ769" s="48"/>
      <c r="AR769" s="48"/>
      <c r="AS769" s="48"/>
      <c r="AT769" s="32"/>
      <c r="AU769" s="48"/>
      <c r="AV769" s="48"/>
      <c r="AW769" s="48"/>
      <c r="AX769" s="48"/>
      <c r="AY769" s="48"/>
      <c r="AZ769" s="48"/>
      <c r="BA769" s="48"/>
      <c r="BB769" s="48"/>
      <c r="BC769" s="48"/>
      <c r="BD769" s="48"/>
      <c r="BE769" s="48"/>
      <c r="BF769" s="49"/>
    </row>
    <row r="770" spans="1:58" ht="15" customHeight="1" x14ac:dyDescent="0.25">
      <c r="A770" s="456"/>
      <c r="B770" s="457"/>
      <c r="C770" s="458"/>
      <c r="D770" s="82"/>
      <c r="E770" s="82"/>
      <c r="F770" s="46"/>
      <c r="G770" s="46"/>
      <c r="H770" s="46"/>
      <c r="I770" s="46"/>
      <c r="J770" s="83"/>
      <c r="K770" s="46"/>
      <c r="L770" s="46"/>
      <c r="M770" s="46"/>
      <c r="N770" s="46"/>
      <c r="O770" s="46"/>
      <c r="P770" s="46"/>
      <c r="Q770" s="46"/>
      <c r="R770" s="46"/>
      <c r="S770" s="46"/>
      <c r="T770" s="46"/>
      <c r="U770" s="46"/>
      <c r="V770" s="73"/>
      <c r="W770" s="73"/>
      <c r="X770" s="73"/>
      <c r="Y770" s="73"/>
      <c r="Z770" s="46"/>
      <c r="AA770" s="46"/>
      <c r="AB770" s="46"/>
      <c r="AC770" s="46"/>
      <c r="AD770" s="47"/>
      <c r="AE770" s="48"/>
      <c r="AF770" s="48"/>
      <c r="AG770" s="48"/>
      <c r="AH770" s="48"/>
      <c r="AI770" s="48"/>
      <c r="AJ770" s="48"/>
      <c r="AK770" s="48"/>
      <c r="AL770" s="48"/>
      <c r="AM770" s="48"/>
      <c r="AN770" s="48"/>
      <c r="AO770" s="48"/>
      <c r="AP770" s="48"/>
      <c r="AQ770" s="48"/>
      <c r="AR770" s="48"/>
      <c r="AS770" s="48"/>
      <c r="AT770" s="32"/>
      <c r="AU770" s="48"/>
      <c r="AV770" s="48"/>
      <c r="AW770" s="48"/>
      <c r="AX770" s="48"/>
      <c r="AY770" s="48"/>
      <c r="AZ770" s="48"/>
      <c r="BA770" s="48"/>
      <c r="BB770" s="48"/>
      <c r="BC770" s="48"/>
      <c r="BD770" s="48"/>
      <c r="BE770" s="48"/>
      <c r="BF770" s="49"/>
    </row>
    <row r="771" spans="1:58" ht="15" customHeight="1" x14ac:dyDescent="0.25">
      <c r="A771" s="456"/>
      <c r="B771" s="457"/>
      <c r="C771" s="458"/>
      <c r="D771" s="82"/>
      <c r="E771" s="82"/>
      <c r="F771" s="46"/>
      <c r="G771" s="46"/>
      <c r="H771" s="46"/>
      <c r="I771" s="46"/>
      <c r="J771" s="83"/>
      <c r="K771" s="46"/>
      <c r="L771" s="46"/>
      <c r="M771" s="46"/>
      <c r="N771" s="46"/>
      <c r="O771" s="46"/>
      <c r="P771" s="46"/>
      <c r="Q771" s="46"/>
      <c r="R771" s="46"/>
      <c r="S771" s="46"/>
      <c r="T771" s="46"/>
      <c r="U771" s="46"/>
      <c r="V771" s="73"/>
      <c r="W771" s="73"/>
      <c r="X771" s="73"/>
      <c r="Y771" s="73"/>
      <c r="Z771" s="46"/>
      <c r="AA771" s="46"/>
      <c r="AB771" s="46"/>
      <c r="AC771" s="46"/>
      <c r="AD771" s="47"/>
      <c r="AE771" s="48"/>
      <c r="AF771" s="48"/>
      <c r="AG771" s="48"/>
      <c r="AH771" s="48"/>
      <c r="AI771" s="48"/>
      <c r="AJ771" s="48"/>
      <c r="AK771" s="48"/>
      <c r="AL771" s="48"/>
      <c r="AM771" s="48"/>
      <c r="AN771" s="48"/>
      <c r="AO771" s="48"/>
      <c r="AP771" s="48"/>
      <c r="AQ771" s="48"/>
      <c r="AR771" s="48"/>
      <c r="AS771" s="48"/>
      <c r="AT771" s="32"/>
      <c r="AU771" s="48"/>
      <c r="AV771" s="48"/>
      <c r="AW771" s="48"/>
      <c r="AX771" s="48"/>
      <c r="AY771" s="48"/>
      <c r="AZ771" s="48"/>
      <c r="BA771" s="48"/>
      <c r="BB771" s="48"/>
      <c r="BC771" s="48"/>
      <c r="BD771" s="48"/>
      <c r="BE771" s="48"/>
      <c r="BF771" s="49"/>
    </row>
    <row r="772" spans="1:58" ht="12.75" x14ac:dyDescent="0.25">
      <c r="K772" s="523"/>
      <c r="L772" s="523"/>
    </row>
    <row r="773" spans="1:58" ht="12.75" x14ac:dyDescent="0.25">
      <c r="K773" s="523"/>
      <c r="L773" s="523"/>
    </row>
    <row r="774" spans="1:58" ht="12.75" x14ac:dyDescent="0.25">
      <c r="K774" s="523"/>
      <c r="L774" s="523"/>
    </row>
    <row r="775" spans="1:58" ht="12.75" x14ac:dyDescent="0.25">
      <c r="K775" s="523"/>
      <c r="L775" s="523"/>
    </row>
  </sheetData>
  <sheetProtection algorithmName="SHA-512" hashValue="nvgTpr2HKN6BdVpxqpQlYkIX2mm2e/Ibqxj5plAxMQDq9JI0Zyj3UUMRB2t53EmeuLBr61Y9xApw5iGv/LCPpw==" saltValue="Jib44M0Lz85c5DOUt6TfCw==" spinCount="100000" sheet="1"/>
  <mergeCells count="5554">
    <mergeCell ref="A2:BE2"/>
    <mergeCell ref="C3:BD3"/>
    <mergeCell ref="A6:A7"/>
    <mergeCell ref="B6:B7"/>
    <mergeCell ref="D6:H6"/>
    <mergeCell ref="I6:J6"/>
    <mergeCell ref="K6:K7"/>
    <mergeCell ref="L6:L7"/>
    <mergeCell ref="M6:M7"/>
    <mergeCell ref="N6:N7"/>
    <mergeCell ref="D12:H12"/>
    <mergeCell ref="P12:P13"/>
    <mergeCell ref="Q12:Q13"/>
    <mergeCell ref="S12:S13"/>
    <mergeCell ref="T12:T13"/>
    <mergeCell ref="D13:H13"/>
    <mergeCell ref="D9:H9"/>
    <mergeCell ref="D10:H10"/>
    <mergeCell ref="P10:P11"/>
    <mergeCell ref="Q10:Q11"/>
    <mergeCell ref="S10:S11"/>
    <mergeCell ref="T10:T11"/>
    <mergeCell ref="D11:H11"/>
    <mergeCell ref="P6:P7"/>
    <mergeCell ref="Q6:Q7"/>
    <mergeCell ref="S6:S7"/>
    <mergeCell ref="T6:T7"/>
    <mergeCell ref="D7:H7"/>
    <mergeCell ref="D8:H8"/>
    <mergeCell ref="P8:P9"/>
    <mergeCell ref="Q8:Q9"/>
    <mergeCell ref="S8:S9"/>
    <mergeCell ref="T8:T9"/>
    <mergeCell ref="D18:H18"/>
    <mergeCell ref="P18:P19"/>
    <mergeCell ref="Q18:Q19"/>
    <mergeCell ref="S18:S19"/>
    <mergeCell ref="T18:T19"/>
    <mergeCell ref="D19:H19"/>
    <mergeCell ref="D16:H16"/>
    <mergeCell ref="I16:J16"/>
    <mergeCell ref="P16:P17"/>
    <mergeCell ref="Q16:Q17"/>
    <mergeCell ref="S16:S17"/>
    <mergeCell ref="T16:T17"/>
    <mergeCell ref="D17:H17"/>
    <mergeCell ref="I17:J17"/>
    <mergeCell ref="D14:H14"/>
    <mergeCell ref="P14:P15"/>
    <mergeCell ref="Q14:Q15"/>
    <mergeCell ref="S14:S15"/>
    <mergeCell ref="T14:T15"/>
    <mergeCell ref="D15:H15"/>
    <mergeCell ref="D24:H24"/>
    <mergeCell ref="P24:P25"/>
    <mergeCell ref="Q24:Q25"/>
    <mergeCell ref="S24:S25"/>
    <mergeCell ref="T24:T25"/>
    <mergeCell ref="D25:H25"/>
    <mergeCell ref="D22:H22"/>
    <mergeCell ref="P22:P23"/>
    <mergeCell ref="Q22:Q23"/>
    <mergeCell ref="S22:S23"/>
    <mergeCell ref="T22:T23"/>
    <mergeCell ref="D23:H23"/>
    <mergeCell ref="D20:H20"/>
    <mergeCell ref="P20:P21"/>
    <mergeCell ref="Q20:Q21"/>
    <mergeCell ref="S20:S21"/>
    <mergeCell ref="T20:T21"/>
    <mergeCell ref="D21:H21"/>
    <mergeCell ref="D33:AS33"/>
    <mergeCell ref="D34:H36"/>
    <mergeCell ref="I34:J36"/>
    <mergeCell ref="K34:M35"/>
    <mergeCell ref="N34:N36"/>
    <mergeCell ref="O34:O36"/>
    <mergeCell ref="P34:P36"/>
    <mergeCell ref="Q34:Q36"/>
    <mergeCell ref="R34:R36"/>
    <mergeCell ref="D28:H28"/>
    <mergeCell ref="P28:P29"/>
    <mergeCell ref="Q28:Q29"/>
    <mergeCell ref="S28:S29"/>
    <mergeCell ref="T28:T29"/>
    <mergeCell ref="D29:H29"/>
    <mergeCell ref="D26:H26"/>
    <mergeCell ref="P26:P27"/>
    <mergeCell ref="Q26:Q27"/>
    <mergeCell ref="S26:S27"/>
    <mergeCell ref="T26:T27"/>
    <mergeCell ref="D27:H27"/>
    <mergeCell ref="D31:BD31"/>
    <mergeCell ref="A37:A39"/>
    <mergeCell ref="C37:C39"/>
    <mergeCell ref="D37:H42"/>
    <mergeCell ref="I37:J39"/>
    <mergeCell ref="K37:K39"/>
    <mergeCell ref="L37:L39"/>
    <mergeCell ref="A40:A42"/>
    <mergeCell ref="C40:C42"/>
    <mergeCell ref="I40:J42"/>
    <mergeCell ref="K40:K42"/>
    <mergeCell ref="AH34:AH36"/>
    <mergeCell ref="AI34:AI36"/>
    <mergeCell ref="AJ34:AM35"/>
    <mergeCell ref="AN34:AS35"/>
    <mergeCell ref="U35:Y35"/>
    <mergeCell ref="Z35:AC35"/>
    <mergeCell ref="AD35:AD36"/>
    <mergeCell ref="AE35:AE36"/>
    <mergeCell ref="AF35:AF36"/>
    <mergeCell ref="S34:S36"/>
    <mergeCell ref="T34:T36"/>
    <mergeCell ref="U34:Y34"/>
    <mergeCell ref="Z34:AC34"/>
    <mergeCell ref="AD34:AF34"/>
    <mergeCell ref="AG34:AG36"/>
    <mergeCell ref="AF40:AF42"/>
    <mergeCell ref="L40:L42"/>
    <mergeCell ref="M40:M42"/>
    <mergeCell ref="N40:N42"/>
    <mergeCell ref="O40:O42"/>
    <mergeCell ref="P40:P42"/>
    <mergeCell ref="Q40:Q42"/>
    <mergeCell ref="AN37:AN39"/>
    <mergeCell ref="AO37:AO39"/>
    <mergeCell ref="AP37:AP39"/>
    <mergeCell ref="AQ37:AQ39"/>
    <mergeCell ref="AR37:AR39"/>
    <mergeCell ref="AS37:AS39"/>
    <mergeCell ref="AH37:AH39"/>
    <mergeCell ref="AI37:AI39"/>
    <mergeCell ref="AJ37:AJ39"/>
    <mergeCell ref="AK37:AK39"/>
    <mergeCell ref="AL37:AL39"/>
    <mergeCell ref="AM37:AM39"/>
    <mergeCell ref="S37:S39"/>
    <mergeCell ref="T37:T39"/>
    <mergeCell ref="AD37:AD39"/>
    <mergeCell ref="AE37:AE39"/>
    <mergeCell ref="AF37:AF39"/>
    <mergeCell ref="AG37:AG39"/>
    <mergeCell ref="S40:S42"/>
    <mergeCell ref="T40:T42"/>
    <mergeCell ref="AD40:AD42"/>
    <mergeCell ref="AE40:AE42"/>
    <mergeCell ref="M37:M39"/>
    <mergeCell ref="N37:N39"/>
    <mergeCell ref="O37:O39"/>
    <mergeCell ref="P37:P39"/>
    <mergeCell ref="Q37:Q39"/>
    <mergeCell ref="R37:R39"/>
    <mergeCell ref="J47:J49"/>
    <mergeCell ref="K47:M48"/>
    <mergeCell ref="N47:N49"/>
    <mergeCell ref="O47:O49"/>
    <mergeCell ref="P47:P49"/>
    <mergeCell ref="Q47:Q49"/>
    <mergeCell ref="D47:D49"/>
    <mergeCell ref="E47:E49"/>
    <mergeCell ref="F47:F49"/>
    <mergeCell ref="G47:G49"/>
    <mergeCell ref="H47:H49"/>
    <mergeCell ref="I47:I49"/>
    <mergeCell ref="U48:Y48"/>
    <mergeCell ref="Z48:AC48"/>
    <mergeCell ref="AD48:AD49"/>
    <mergeCell ref="AE48:AE49"/>
    <mergeCell ref="AF48:AF49"/>
    <mergeCell ref="AG47:AG49"/>
    <mergeCell ref="AH47:AH49"/>
    <mergeCell ref="AI47:AI49"/>
    <mergeCell ref="AJ47:AM48"/>
    <mergeCell ref="AN47:AS48"/>
    <mergeCell ref="R47:R49"/>
    <mergeCell ref="S47:S49"/>
    <mergeCell ref="T47:T49"/>
    <mergeCell ref="U47:Y47"/>
    <mergeCell ref="Z47:AC47"/>
    <mergeCell ref="AD47:AF47"/>
    <mergeCell ref="AS40:AS42"/>
    <mergeCell ref="D45:AS45"/>
    <mergeCell ref="D46:AS46"/>
    <mergeCell ref="AM40:AM42"/>
    <mergeCell ref="AN40:AN42"/>
    <mergeCell ref="AO40:AO42"/>
    <mergeCell ref="AP40:AP42"/>
    <mergeCell ref="AQ40:AQ42"/>
    <mergeCell ref="AR40:AR42"/>
    <mergeCell ref="AG40:AG42"/>
    <mergeCell ref="AH40:AH42"/>
    <mergeCell ref="AI40:AI42"/>
    <mergeCell ref="AJ40:AJ42"/>
    <mergeCell ref="AK40:AK42"/>
    <mergeCell ref="AL40:AL42"/>
    <mergeCell ref="R40:R42"/>
    <mergeCell ref="P50:P52"/>
    <mergeCell ref="Q50:Q52"/>
    <mergeCell ref="R50:R52"/>
    <mergeCell ref="G50:G58"/>
    <mergeCell ref="H50:H52"/>
    <mergeCell ref="I50:I52"/>
    <mergeCell ref="J50:J52"/>
    <mergeCell ref="K50:K52"/>
    <mergeCell ref="L50:L52"/>
    <mergeCell ref="H56:H58"/>
    <mergeCell ref="I56:I58"/>
    <mergeCell ref="J56:J58"/>
    <mergeCell ref="K56:K58"/>
    <mergeCell ref="A50:A52"/>
    <mergeCell ref="B50:B52"/>
    <mergeCell ref="C50:C52"/>
    <mergeCell ref="D50:D61"/>
    <mergeCell ref="E50:E61"/>
    <mergeCell ref="F50:F58"/>
    <mergeCell ref="C56:C58"/>
    <mergeCell ref="S53:S55"/>
    <mergeCell ref="BC50:BC61"/>
    <mergeCell ref="BD50:BD61"/>
    <mergeCell ref="B53:B55"/>
    <mergeCell ref="C53:C55"/>
    <mergeCell ref="H53:H55"/>
    <mergeCell ref="I53:I55"/>
    <mergeCell ref="J53:J55"/>
    <mergeCell ref="K53:K55"/>
    <mergeCell ref="L53:L55"/>
    <mergeCell ref="M53:M55"/>
    <mergeCell ref="AN50:AN52"/>
    <mergeCell ref="AO50:AO52"/>
    <mergeCell ref="AP50:AP52"/>
    <mergeCell ref="AQ50:AQ52"/>
    <mergeCell ref="AR50:AR52"/>
    <mergeCell ref="AS50:AS52"/>
    <mergeCell ref="AH50:AH52"/>
    <mergeCell ref="AI50:AI52"/>
    <mergeCell ref="AJ50:AJ52"/>
    <mergeCell ref="AK50:AK52"/>
    <mergeCell ref="AL50:AL52"/>
    <mergeCell ref="AM50:AM52"/>
    <mergeCell ref="S50:S52"/>
    <mergeCell ref="T50:T52"/>
    <mergeCell ref="AD50:AD52"/>
    <mergeCell ref="AE50:AE52"/>
    <mergeCell ref="AF50:AF52"/>
    <mergeCell ref="AG50:AG52"/>
    <mergeCell ref="M50:M52"/>
    <mergeCell ref="N50:N52"/>
    <mergeCell ref="O50:O52"/>
    <mergeCell ref="T56:T58"/>
    <mergeCell ref="AD56:AD58"/>
    <mergeCell ref="AE56:AE58"/>
    <mergeCell ref="AF56:AF58"/>
    <mergeCell ref="L56:L58"/>
    <mergeCell ref="M56:M58"/>
    <mergeCell ref="N56:N58"/>
    <mergeCell ref="O56:O58"/>
    <mergeCell ref="P56:P58"/>
    <mergeCell ref="Q56:Q58"/>
    <mergeCell ref="AO53:AO55"/>
    <mergeCell ref="AP53:AP55"/>
    <mergeCell ref="AQ53:AQ55"/>
    <mergeCell ref="AR53:AR55"/>
    <mergeCell ref="AS53:AS55"/>
    <mergeCell ref="AI53:AI55"/>
    <mergeCell ref="AJ53:AJ55"/>
    <mergeCell ref="AK53:AK55"/>
    <mergeCell ref="AL53:AL55"/>
    <mergeCell ref="AM53:AM55"/>
    <mergeCell ref="AN53:AN55"/>
    <mergeCell ref="T53:T55"/>
    <mergeCell ref="AD53:AD55"/>
    <mergeCell ref="AE53:AE55"/>
    <mergeCell ref="AF53:AF55"/>
    <mergeCell ref="AG53:AG55"/>
    <mergeCell ref="AH53:AH55"/>
    <mergeCell ref="N53:N55"/>
    <mergeCell ref="O53:O55"/>
    <mergeCell ref="P53:P55"/>
    <mergeCell ref="Q53:Q55"/>
    <mergeCell ref="R53:R55"/>
    <mergeCell ref="AD59:AD61"/>
    <mergeCell ref="AE59:AE61"/>
    <mergeCell ref="AF59:AF61"/>
    <mergeCell ref="L59:L61"/>
    <mergeCell ref="M59:M61"/>
    <mergeCell ref="N59:N61"/>
    <mergeCell ref="O59:O61"/>
    <mergeCell ref="P59:P61"/>
    <mergeCell ref="Q59:Q61"/>
    <mergeCell ref="AS56:AS58"/>
    <mergeCell ref="B59:B61"/>
    <mergeCell ref="C59:C61"/>
    <mergeCell ref="F59:F61"/>
    <mergeCell ref="G59:G61"/>
    <mergeCell ref="H59:H61"/>
    <mergeCell ref="I59:I61"/>
    <mergeCell ref="J59:J61"/>
    <mergeCell ref="K59:K61"/>
    <mergeCell ref="AM56:AM58"/>
    <mergeCell ref="AN56:AN58"/>
    <mergeCell ref="AO56:AO58"/>
    <mergeCell ref="AP56:AP58"/>
    <mergeCell ref="AQ56:AQ58"/>
    <mergeCell ref="AR56:AR58"/>
    <mergeCell ref="AG56:AG58"/>
    <mergeCell ref="AH56:AH58"/>
    <mergeCell ref="AI56:AI58"/>
    <mergeCell ref="AJ56:AJ58"/>
    <mergeCell ref="AK56:AK58"/>
    <mergeCell ref="AL56:AL58"/>
    <mergeCell ref="R56:R58"/>
    <mergeCell ref="S56:S58"/>
    <mergeCell ref="O72:O74"/>
    <mergeCell ref="P72:P74"/>
    <mergeCell ref="Q72:Q74"/>
    <mergeCell ref="Q68:U68"/>
    <mergeCell ref="D71:AS71"/>
    <mergeCell ref="D72:D74"/>
    <mergeCell ref="E72:E74"/>
    <mergeCell ref="F72:F74"/>
    <mergeCell ref="G72:G74"/>
    <mergeCell ref="H72:H74"/>
    <mergeCell ref="I72:I74"/>
    <mergeCell ref="AS59:AS61"/>
    <mergeCell ref="Q63:U63"/>
    <mergeCell ref="Q64:U64"/>
    <mergeCell ref="Q65:U65"/>
    <mergeCell ref="Q66:U66"/>
    <mergeCell ref="Q67:U67"/>
    <mergeCell ref="AM59:AM61"/>
    <mergeCell ref="AN59:AN61"/>
    <mergeCell ref="AO59:AO61"/>
    <mergeCell ref="AP59:AP61"/>
    <mergeCell ref="AQ59:AQ61"/>
    <mergeCell ref="AR59:AR61"/>
    <mergeCell ref="AG59:AG61"/>
    <mergeCell ref="AH59:AH61"/>
    <mergeCell ref="AI59:AI61"/>
    <mergeCell ref="AJ59:AJ61"/>
    <mergeCell ref="AK59:AK61"/>
    <mergeCell ref="AL59:AL61"/>
    <mergeCell ref="R59:R61"/>
    <mergeCell ref="S59:S61"/>
    <mergeCell ref="T59:T61"/>
    <mergeCell ref="A75:A77"/>
    <mergeCell ref="B75:B77"/>
    <mergeCell ref="C75:C77"/>
    <mergeCell ref="D75:D86"/>
    <mergeCell ref="E75:E86"/>
    <mergeCell ref="F75:F86"/>
    <mergeCell ref="A81:A83"/>
    <mergeCell ref="B81:B83"/>
    <mergeCell ref="C81:C83"/>
    <mergeCell ref="AU72:AX73"/>
    <mergeCell ref="AY72:BB73"/>
    <mergeCell ref="BC72:BC74"/>
    <mergeCell ref="BD72:BD74"/>
    <mergeCell ref="U73:Y73"/>
    <mergeCell ref="Z73:AC73"/>
    <mergeCell ref="AD73:AD74"/>
    <mergeCell ref="AE73:AE74"/>
    <mergeCell ref="AF73:AF74"/>
    <mergeCell ref="AG72:AG74"/>
    <mergeCell ref="AH72:AH74"/>
    <mergeCell ref="AI72:AI74"/>
    <mergeCell ref="AJ72:AM73"/>
    <mergeCell ref="AN72:AS73"/>
    <mergeCell ref="R72:R74"/>
    <mergeCell ref="S72:S74"/>
    <mergeCell ref="T72:T74"/>
    <mergeCell ref="U72:Y72"/>
    <mergeCell ref="Z72:AC72"/>
    <mergeCell ref="AD72:AF72"/>
    <mergeCell ref="J72:J74"/>
    <mergeCell ref="K72:M73"/>
    <mergeCell ref="N72:N74"/>
    <mergeCell ref="A78:A80"/>
    <mergeCell ref="B78:B80"/>
    <mergeCell ref="C78:C80"/>
    <mergeCell ref="G78:G80"/>
    <mergeCell ref="H78:H80"/>
    <mergeCell ref="AN75:AN77"/>
    <mergeCell ref="AO75:AO77"/>
    <mergeCell ref="AP75:AP77"/>
    <mergeCell ref="AQ75:AQ77"/>
    <mergeCell ref="AR75:AR77"/>
    <mergeCell ref="AS75:AS77"/>
    <mergeCell ref="AH75:AH77"/>
    <mergeCell ref="AI75:AI77"/>
    <mergeCell ref="AJ75:AJ77"/>
    <mergeCell ref="AK75:AK77"/>
    <mergeCell ref="AL75:AL77"/>
    <mergeCell ref="AM75:AM77"/>
    <mergeCell ref="S75:S77"/>
    <mergeCell ref="T75:T77"/>
    <mergeCell ref="AD75:AD77"/>
    <mergeCell ref="AE75:AE77"/>
    <mergeCell ref="AF75:AF77"/>
    <mergeCell ref="AG75:AG77"/>
    <mergeCell ref="M75:M77"/>
    <mergeCell ref="N75:N77"/>
    <mergeCell ref="O75:O77"/>
    <mergeCell ref="P75:P77"/>
    <mergeCell ref="Q75:Q77"/>
    <mergeCell ref="R75:R77"/>
    <mergeCell ref="G75:G77"/>
    <mergeCell ref="H75:H77"/>
    <mergeCell ref="I75:I77"/>
    <mergeCell ref="I78:I80"/>
    <mergeCell ref="J78:J80"/>
    <mergeCell ref="K78:K80"/>
    <mergeCell ref="L78:L80"/>
    <mergeCell ref="M78:M80"/>
    <mergeCell ref="N78:N80"/>
    <mergeCell ref="BC75:BC86"/>
    <mergeCell ref="BD75:BD86"/>
    <mergeCell ref="BE75:BF75"/>
    <mergeCell ref="BE76:BF76"/>
    <mergeCell ref="BE77:BF77"/>
    <mergeCell ref="J75:J77"/>
    <mergeCell ref="K75:K77"/>
    <mergeCell ref="L75:L77"/>
    <mergeCell ref="AP78:AP80"/>
    <mergeCell ref="AQ78:AQ80"/>
    <mergeCell ref="AR78:AR80"/>
    <mergeCell ref="AS78:AS80"/>
    <mergeCell ref="BE78:BF78"/>
    <mergeCell ref="BE79:BF79"/>
    <mergeCell ref="AU80:BB80"/>
    <mergeCell ref="BE80:BF80"/>
    <mergeCell ref="AJ78:AJ80"/>
    <mergeCell ref="AK78:AK80"/>
    <mergeCell ref="AL78:AL80"/>
    <mergeCell ref="AM78:AM80"/>
    <mergeCell ref="AN78:AN80"/>
    <mergeCell ref="AO78:AO80"/>
    <mergeCell ref="AD78:AD80"/>
    <mergeCell ref="AE78:AE80"/>
    <mergeCell ref="AF78:AF80"/>
    <mergeCell ref="AG78:AG80"/>
    <mergeCell ref="AH78:AH80"/>
    <mergeCell ref="AI78:AI80"/>
    <mergeCell ref="AL81:AL83"/>
    <mergeCell ref="AM81:AM83"/>
    <mergeCell ref="S81:S83"/>
    <mergeCell ref="T81:T83"/>
    <mergeCell ref="AD81:AD83"/>
    <mergeCell ref="AE81:AE83"/>
    <mergeCell ref="AF81:AF83"/>
    <mergeCell ref="AG81:AG83"/>
    <mergeCell ref="M81:M83"/>
    <mergeCell ref="N81:N83"/>
    <mergeCell ref="O81:O83"/>
    <mergeCell ref="P81:P83"/>
    <mergeCell ref="Q81:Q83"/>
    <mergeCell ref="R81:R83"/>
    <mergeCell ref="O78:O80"/>
    <mergeCell ref="P78:P80"/>
    <mergeCell ref="Q78:Q80"/>
    <mergeCell ref="R78:R80"/>
    <mergeCell ref="S78:S80"/>
    <mergeCell ref="T78:T80"/>
    <mergeCell ref="G81:G83"/>
    <mergeCell ref="H81:H83"/>
    <mergeCell ref="I81:I83"/>
    <mergeCell ref="J81:J83"/>
    <mergeCell ref="K81:K83"/>
    <mergeCell ref="L81:L83"/>
    <mergeCell ref="P84:P86"/>
    <mergeCell ref="Q84:Q86"/>
    <mergeCell ref="R84:R86"/>
    <mergeCell ref="S84:S86"/>
    <mergeCell ref="T84:T86"/>
    <mergeCell ref="AD84:AD86"/>
    <mergeCell ref="J84:J86"/>
    <mergeCell ref="K84:K86"/>
    <mergeCell ref="L84:L86"/>
    <mergeCell ref="M84:M86"/>
    <mergeCell ref="N84:N86"/>
    <mergeCell ref="O84:O86"/>
    <mergeCell ref="BE81:BF81"/>
    <mergeCell ref="BE82:BF82"/>
    <mergeCell ref="AU83:BB83"/>
    <mergeCell ref="BE83:BF83"/>
    <mergeCell ref="A84:A86"/>
    <mergeCell ref="B84:B86"/>
    <mergeCell ref="C84:C86"/>
    <mergeCell ref="G84:G86"/>
    <mergeCell ref="H84:H86"/>
    <mergeCell ref="I84:I86"/>
    <mergeCell ref="AN81:AN83"/>
    <mergeCell ref="AO81:AO83"/>
    <mergeCell ref="AP81:AP83"/>
    <mergeCell ref="AQ81:AQ83"/>
    <mergeCell ref="AR81:AR83"/>
    <mergeCell ref="AS81:AS83"/>
    <mergeCell ref="AH81:AH83"/>
    <mergeCell ref="AI81:AI83"/>
    <mergeCell ref="AJ81:AJ83"/>
    <mergeCell ref="AK81:AK83"/>
    <mergeCell ref="AQ84:AQ86"/>
    <mergeCell ref="AR84:AR86"/>
    <mergeCell ref="AS84:AS86"/>
    <mergeCell ref="BE84:BF84"/>
    <mergeCell ref="BE85:BF85"/>
    <mergeCell ref="AU86:BB86"/>
    <mergeCell ref="BE86:BF86"/>
    <mergeCell ref="AK84:AK86"/>
    <mergeCell ref="AL84:AL86"/>
    <mergeCell ref="AM84:AM86"/>
    <mergeCell ref="AN84:AN86"/>
    <mergeCell ref="AO84:AO86"/>
    <mergeCell ref="AP84:AP86"/>
    <mergeCell ref="AE84:AE86"/>
    <mergeCell ref="AF84:AF86"/>
    <mergeCell ref="AG84:AG86"/>
    <mergeCell ref="AH84:AH86"/>
    <mergeCell ref="AI84:AI86"/>
    <mergeCell ref="AJ84:AJ86"/>
    <mergeCell ref="I99:I101"/>
    <mergeCell ref="J99:J101"/>
    <mergeCell ref="K99:M100"/>
    <mergeCell ref="N99:N101"/>
    <mergeCell ref="O99:O101"/>
    <mergeCell ref="P99:P101"/>
    <mergeCell ref="D95:AS95"/>
    <mergeCell ref="D98:AS98"/>
    <mergeCell ref="D99:D101"/>
    <mergeCell ref="E99:E101"/>
    <mergeCell ref="F99:F101"/>
    <mergeCell ref="G99:G101"/>
    <mergeCell ref="H99:H101"/>
    <mergeCell ref="Q88:U88"/>
    <mergeCell ref="Q89:U89"/>
    <mergeCell ref="Q90:U90"/>
    <mergeCell ref="Q91:U91"/>
    <mergeCell ref="Q92:U92"/>
    <mergeCell ref="Q93:U93"/>
    <mergeCell ref="A102:A104"/>
    <mergeCell ref="B102:B104"/>
    <mergeCell ref="C102:C104"/>
    <mergeCell ref="D102:D125"/>
    <mergeCell ref="E102:E116"/>
    <mergeCell ref="F102:F116"/>
    <mergeCell ref="A108:A110"/>
    <mergeCell ref="B108:B110"/>
    <mergeCell ref="C108:C110"/>
    <mergeCell ref="A114:A116"/>
    <mergeCell ref="AT99:AT101"/>
    <mergeCell ref="AU99:AX100"/>
    <mergeCell ref="AY99:BB100"/>
    <mergeCell ref="BC99:BC101"/>
    <mergeCell ref="BD99:BD101"/>
    <mergeCell ref="U100:Y100"/>
    <mergeCell ref="Z100:AC100"/>
    <mergeCell ref="AD100:AD101"/>
    <mergeCell ref="AE100:AE101"/>
    <mergeCell ref="AF100:AF101"/>
    <mergeCell ref="AD99:AF99"/>
    <mergeCell ref="AG99:AG101"/>
    <mergeCell ref="AH99:AH101"/>
    <mergeCell ref="AI99:AI101"/>
    <mergeCell ref="AJ99:AM100"/>
    <mergeCell ref="AN99:AS100"/>
    <mergeCell ref="Q99:Q101"/>
    <mergeCell ref="R99:R101"/>
    <mergeCell ref="S99:S101"/>
    <mergeCell ref="T99:T101"/>
    <mergeCell ref="U99:Y99"/>
    <mergeCell ref="Z99:AC99"/>
    <mergeCell ref="AE102:AE104"/>
    <mergeCell ref="P108:P110"/>
    <mergeCell ref="Q108:Q110"/>
    <mergeCell ref="R108:R110"/>
    <mergeCell ref="AO105:AO107"/>
    <mergeCell ref="AP105:AP107"/>
    <mergeCell ref="AQ105:AQ107"/>
    <mergeCell ref="AF102:AF104"/>
    <mergeCell ref="AG102:AG104"/>
    <mergeCell ref="M102:M104"/>
    <mergeCell ref="N102:N104"/>
    <mergeCell ref="O102:O104"/>
    <mergeCell ref="P102:P104"/>
    <mergeCell ref="Q102:Q104"/>
    <mergeCell ref="R102:R104"/>
    <mergeCell ref="G102:G116"/>
    <mergeCell ref="H102:H115"/>
    <mergeCell ref="I102:I104"/>
    <mergeCell ref="J102:J104"/>
    <mergeCell ref="K102:K104"/>
    <mergeCell ref="L102:L104"/>
    <mergeCell ref="I108:I110"/>
    <mergeCell ref="J108:J110"/>
    <mergeCell ref="K108:K110"/>
    <mergeCell ref="L108:L110"/>
    <mergeCell ref="N105:N107"/>
    <mergeCell ref="O105:O107"/>
    <mergeCell ref="P105:P107"/>
    <mergeCell ref="Q105:Q107"/>
    <mergeCell ref="R105:R107"/>
    <mergeCell ref="S105:S107"/>
    <mergeCell ref="N114:N116"/>
    <mergeCell ref="AE105:AE107"/>
    <mergeCell ref="AF105:AF107"/>
    <mergeCell ref="AG105:AG107"/>
    <mergeCell ref="AH105:AH107"/>
    <mergeCell ref="T111:T113"/>
    <mergeCell ref="AU109:BB109"/>
    <mergeCell ref="AU110:BB110"/>
    <mergeCell ref="BC102:BC119"/>
    <mergeCell ref="BD102:BD125"/>
    <mergeCell ref="A105:A107"/>
    <mergeCell ref="B105:B107"/>
    <mergeCell ref="C105:C107"/>
    <mergeCell ref="I105:I107"/>
    <mergeCell ref="J105:J107"/>
    <mergeCell ref="K105:K107"/>
    <mergeCell ref="L105:L107"/>
    <mergeCell ref="M105:M107"/>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S102:S104"/>
    <mergeCell ref="T102:T104"/>
    <mergeCell ref="AD102:AD104"/>
    <mergeCell ref="A111:A113"/>
    <mergeCell ref="C111:C113"/>
    <mergeCell ref="I111:I113"/>
    <mergeCell ref="J111:J113"/>
    <mergeCell ref="K111:K113"/>
    <mergeCell ref="L111:L113"/>
    <mergeCell ref="M111:M113"/>
    <mergeCell ref="N111:N113"/>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S108:S110"/>
    <mergeCell ref="T108:T110"/>
    <mergeCell ref="AD108:AD110"/>
    <mergeCell ref="AE108:AE110"/>
    <mergeCell ref="AF108:AF110"/>
    <mergeCell ref="AG108:AG110"/>
    <mergeCell ref="M108:M110"/>
    <mergeCell ref="N108:N110"/>
    <mergeCell ref="O108:O110"/>
    <mergeCell ref="B114:B116"/>
    <mergeCell ref="C114:C116"/>
    <mergeCell ref="I114:I116"/>
    <mergeCell ref="J114:J116"/>
    <mergeCell ref="K114:K116"/>
    <mergeCell ref="L114:L116"/>
    <mergeCell ref="AP111:AP113"/>
    <mergeCell ref="AQ111:AQ113"/>
    <mergeCell ref="AR111:AR113"/>
    <mergeCell ref="AS111:AS113"/>
    <mergeCell ref="AJ111:AJ113"/>
    <mergeCell ref="AK111:AK113"/>
    <mergeCell ref="AL111:AL113"/>
    <mergeCell ref="AM111:AM113"/>
    <mergeCell ref="AN111:AN113"/>
    <mergeCell ref="AO111:AO113"/>
    <mergeCell ref="AD111:AD113"/>
    <mergeCell ref="AE111:AE113"/>
    <mergeCell ref="AF111:AF113"/>
    <mergeCell ref="AG111:AG113"/>
    <mergeCell ref="AH111:AH113"/>
    <mergeCell ref="AI111:AI113"/>
    <mergeCell ref="O111:O113"/>
    <mergeCell ref="P111:P113"/>
    <mergeCell ref="Q111:Q113"/>
    <mergeCell ref="R111:R113"/>
    <mergeCell ref="S111:S113"/>
    <mergeCell ref="O114:O116"/>
    <mergeCell ref="P114:P116"/>
    <mergeCell ref="Q114:Q116"/>
    <mergeCell ref="R114:R116"/>
    <mergeCell ref="C117:C119"/>
    <mergeCell ref="E117:E119"/>
    <mergeCell ref="F117:F119"/>
    <mergeCell ref="G117:G119"/>
    <mergeCell ref="H117:H119"/>
    <mergeCell ref="I117:I119"/>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S114:S116"/>
    <mergeCell ref="T114:T116"/>
    <mergeCell ref="AD114:AD116"/>
    <mergeCell ref="AE114:AE116"/>
    <mergeCell ref="AF114:AF116"/>
    <mergeCell ref="AG114:AG116"/>
    <mergeCell ref="M114:M116"/>
    <mergeCell ref="A120:A122"/>
    <mergeCell ref="B120:B122"/>
    <mergeCell ref="C120:C122"/>
    <mergeCell ref="E120:E122"/>
    <mergeCell ref="F120:F122"/>
    <mergeCell ref="G120:G122"/>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P117:P119"/>
    <mergeCell ref="Q117:Q119"/>
    <mergeCell ref="R117:R119"/>
    <mergeCell ref="S117:S119"/>
    <mergeCell ref="T117:T119"/>
    <mergeCell ref="AD117:AD119"/>
    <mergeCell ref="J117:J119"/>
    <mergeCell ref="K117:K119"/>
    <mergeCell ref="L117:L119"/>
    <mergeCell ref="M117:M119"/>
    <mergeCell ref="N117:N119"/>
    <mergeCell ref="O117:O119"/>
    <mergeCell ref="A117:A119"/>
    <mergeCell ref="B117:B119"/>
    <mergeCell ref="A123:A125"/>
    <mergeCell ref="B123:B125"/>
    <mergeCell ref="C123:C125"/>
    <mergeCell ref="E123:E125"/>
    <mergeCell ref="F123:F125"/>
    <mergeCell ref="G123:G125"/>
    <mergeCell ref="AO120:AO122"/>
    <mergeCell ref="AP120:AP122"/>
    <mergeCell ref="AQ120:AQ122"/>
    <mergeCell ref="AR120:AR122"/>
    <mergeCell ref="AS120:AS122"/>
    <mergeCell ref="AI120:AI122"/>
    <mergeCell ref="AJ120:AJ122"/>
    <mergeCell ref="AK120:AK122"/>
    <mergeCell ref="AL120:AL122"/>
    <mergeCell ref="AM120:AM122"/>
    <mergeCell ref="AN120:AN122"/>
    <mergeCell ref="T120:T122"/>
    <mergeCell ref="AD120:AD122"/>
    <mergeCell ref="AE120:AE122"/>
    <mergeCell ref="AF120:AF122"/>
    <mergeCell ref="AG120:AG122"/>
    <mergeCell ref="AH120:AH122"/>
    <mergeCell ref="N120:N122"/>
    <mergeCell ref="O120:O122"/>
    <mergeCell ref="P120:P122"/>
    <mergeCell ref="Q120:Q122"/>
    <mergeCell ref="R120:R122"/>
    <mergeCell ref="S120:S122"/>
    <mergeCell ref="H120:H122"/>
    <mergeCell ref="I120:I122"/>
    <mergeCell ref="J120:J122"/>
    <mergeCell ref="D135:AS135"/>
    <mergeCell ref="D136:D138"/>
    <mergeCell ref="E136:E138"/>
    <mergeCell ref="F136:F138"/>
    <mergeCell ref="G136:G138"/>
    <mergeCell ref="H136:H138"/>
    <mergeCell ref="I136:I138"/>
    <mergeCell ref="J136:J138"/>
    <mergeCell ref="Q127:U127"/>
    <mergeCell ref="Q128:U128"/>
    <mergeCell ref="Q129:U129"/>
    <mergeCell ref="Q130:U130"/>
    <mergeCell ref="Q131:U131"/>
    <mergeCell ref="Q132:U132"/>
    <mergeCell ref="AO123:AO125"/>
    <mergeCell ref="AP123:AP125"/>
    <mergeCell ref="AQ123:AQ125"/>
    <mergeCell ref="AR123:AR125"/>
    <mergeCell ref="AS123:AS125"/>
    <mergeCell ref="AI123:AI125"/>
    <mergeCell ref="AJ123:AJ125"/>
    <mergeCell ref="AK123:AK125"/>
    <mergeCell ref="AL123:AL125"/>
    <mergeCell ref="AM123:AM125"/>
    <mergeCell ref="AN123:AN125"/>
    <mergeCell ref="T123:T125"/>
    <mergeCell ref="AD123:AD125"/>
    <mergeCell ref="AE123:AE125"/>
    <mergeCell ref="AF123:AF125"/>
    <mergeCell ref="AG123:AG125"/>
    <mergeCell ref="AH123:AH125"/>
    <mergeCell ref="N123:N125"/>
    <mergeCell ref="B139:B141"/>
    <mergeCell ref="C139:C141"/>
    <mergeCell ref="D139:D141"/>
    <mergeCell ref="E139:E141"/>
    <mergeCell ref="F139:F141"/>
    <mergeCell ref="G139:G141"/>
    <mergeCell ref="AY136:BB137"/>
    <mergeCell ref="BC136:BC138"/>
    <mergeCell ref="BD136:BD138"/>
    <mergeCell ref="U137:Y137"/>
    <mergeCell ref="Z137:AC137"/>
    <mergeCell ref="AD137:AD138"/>
    <mergeCell ref="AE137:AE138"/>
    <mergeCell ref="AF137:AF138"/>
    <mergeCell ref="AH136:AH138"/>
    <mergeCell ref="AI136:AI138"/>
    <mergeCell ref="AJ136:AM137"/>
    <mergeCell ref="AN136:AS137"/>
    <mergeCell ref="S136:S138"/>
    <mergeCell ref="T136:T138"/>
    <mergeCell ref="U136:Y136"/>
    <mergeCell ref="Z136:AC136"/>
    <mergeCell ref="AD136:AF136"/>
    <mergeCell ref="AG136:AG138"/>
    <mergeCell ref="K136:M137"/>
    <mergeCell ref="N136:N138"/>
    <mergeCell ref="O136:O138"/>
    <mergeCell ref="P136:P138"/>
    <mergeCell ref="Q136:Q138"/>
    <mergeCell ref="R136:R138"/>
    <mergeCell ref="AD139:AD141"/>
    <mergeCell ref="AE139:AE141"/>
    <mergeCell ref="N139:N141"/>
    <mergeCell ref="O139:O141"/>
    <mergeCell ref="P139:P141"/>
    <mergeCell ref="Q139:Q141"/>
    <mergeCell ref="R139:R141"/>
    <mergeCell ref="S139:S141"/>
    <mergeCell ref="H139:H141"/>
    <mergeCell ref="I139:I141"/>
    <mergeCell ref="J139:J141"/>
    <mergeCell ref="K139:K141"/>
    <mergeCell ref="L139:L141"/>
    <mergeCell ref="M139:M141"/>
    <mergeCell ref="J152:J154"/>
    <mergeCell ref="K152:M153"/>
    <mergeCell ref="N152:N154"/>
    <mergeCell ref="O152:O154"/>
    <mergeCell ref="P152:P154"/>
    <mergeCell ref="Q152:Q154"/>
    <mergeCell ref="Q148:U148"/>
    <mergeCell ref="D151:AS151"/>
    <mergeCell ref="D152:D154"/>
    <mergeCell ref="E152:E154"/>
    <mergeCell ref="F152:F154"/>
    <mergeCell ref="G152:G154"/>
    <mergeCell ref="H152:H154"/>
    <mergeCell ref="I152:I154"/>
    <mergeCell ref="U153:Y153"/>
    <mergeCell ref="Z153:AC153"/>
    <mergeCell ref="AD153:AD154"/>
    <mergeCell ref="AK155:AK157"/>
    <mergeCell ref="AL155:AL157"/>
    <mergeCell ref="AM155:AM157"/>
    <mergeCell ref="BD139:BD141"/>
    <mergeCell ref="Q143:U143"/>
    <mergeCell ref="Q144:U144"/>
    <mergeCell ref="Q145:U145"/>
    <mergeCell ref="Q146:U146"/>
    <mergeCell ref="Q147:U147"/>
    <mergeCell ref="AO139:AO141"/>
    <mergeCell ref="AP139:AP141"/>
    <mergeCell ref="AQ139:AQ141"/>
    <mergeCell ref="AR139:AR141"/>
    <mergeCell ref="AS139:AS141"/>
    <mergeCell ref="AI139:AI141"/>
    <mergeCell ref="AJ139:AJ141"/>
    <mergeCell ref="AK139:AK141"/>
    <mergeCell ref="AL139:AL141"/>
    <mergeCell ref="AM139:AM141"/>
    <mergeCell ref="AN139:AN141"/>
    <mergeCell ref="T139:T141"/>
    <mergeCell ref="AF139:AF141"/>
    <mergeCell ref="AG139:AG141"/>
    <mergeCell ref="AH139:AH141"/>
    <mergeCell ref="J188:J190"/>
    <mergeCell ref="K188:K190"/>
    <mergeCell ref="L188:L190"/>
    <mergeCell ref="AE153:AE154"/>
    <mergeCell ref="AF153:AF154"/>
    <mergeCell ref="AT152:AT154"/>
    <mergeCell ref="AG152:AG154"/>
    <mergeCell ref="AH152:AH154"/>
    <mergeCell ref="AI152:AI154"/>
    <mergeCell ref="AJ152:AM153"/>
    <mergeCell ref="AN152:AS153"/>
    <mergeCell ref="R152:R154"/>
    <mergeCell ref="S152:S154"/>
    <mergeCell ref="T152:T154"/>
    <mergeCell ref="U152:Y152"/>
    <mergeCell ref="Z152:AC152"/>
    <mergeCell ref="AD152:AF152"/>
    <mergeCell ref="M155:M157"/>
    <mergeCell ref="N155:N157"/>
    <mergeCell ref="O155:O157"/>
    <mergeCell ref="P155:P157"/>
    <mergeCell ref="Q155:Q157"/>
    <mergeCell ref="R155:R157"/>
    <mergeCell ref="AN155:AN157"/>
    <mergeCell ref="AO155:AO157"/>
    <mergeCell ref="AP155:AP157"/>
    <mergeCell ref="AQ155:AQ157"/>
    <mergeCell ref="AR155:AR157"/>
    <mergeCell ref="AS155:AS157"/>
    <mergeCell ref="AH155:AH169"/>
    <mergeCell ref="AI155:AI169"/>
    <mergeCell ref="AJ155:AJ157"/>
    <mergeCell ref="I167:I169"/>
    <mergeCell ref="J167:J169"/>
    <mergeCell ref="K167:K169"/>
    <mergeCell ref="L167:L169"/>
    <mergeCell ref="G155:G169"/>
    <mergeCell ref="H155:H169"/>
    <mergeCell ref="I155:I157"/>
    <mergeCell ref="J155:J157"/>
    <mergeCell ref="K155:K157"/>
    <mergeCell ref="L155:L157"/>
    <mergeCell ref="I164:I166"/>
    <mergeCell ref="J164:J166"/>
    <mergeCell ref="K164:K166"/>
    <mergeCell ref="L164:L166"/>
    <mergeCell ref="A155:A157"/>
    <mergeCell ref="B155:B157"/>
    <mergeCell ref="C155:C157"/>
    <mergeCell ref="D155:D193"/>
    <mergeCell ref="E155:E184"/>
    <mergeCell ref="F155:F184"/>
    <mergeCell ref="A164:A166"/>
    <mergeCell ref="B164:B166"/>
    <mergeCell ref="C164:C166"/>
    <mergeCell ref="A167:A169"/>
    <mergeCell ref="K173:K175"/>
    <mergeCell ref="L173:L175"/>
    <mergeCell ref="B179:B181"/>
    <mergeCell ref="C179:C181"/>
    <mergeCell ref="I179:I181"/>
    <mergeCell ref="J179:J181"/>
    <mergeCell ref="K179:K181"/>
    <mergeCell ref="I188:I190"/>
    <mergeCell ref="A158:A160"/>
    <mergeCell ref="B158:B160"/>
    <mergeCell ref="C158:C160"/>
    <mergeCell ref="I158:I160"/>
    <mergeCell ref="J158:J160"/>
    <mergeCell ref="K158:K160"/>
    <mergeCell ref="L158:L160"/>
    <mergeCell ref="M158:M160"/>
    <mergeCell ref="AJ158:AJ160"/>
    <mergeCell ref="AK158:AK160"/>
    <mergeCell ref="AL158:AL160"/>
    <mergeCell ref="AM158:AM160"/>
    <mergeCell ref="S155:S157"/>
    <mergeCell ref="T155:T157"/>
    <mergeCell ref="AD155:AD169"/>
    <mergeCell ref="AE155:AE169"/>
    <mergeCell ref="AF155:AF169"/>
    <mergeCell ref="AG155:AG169"/>
    <mergeCell ref="T158:T160"/>
    <mergeCell ref="T161:T163"/>
    <mergeCell ref="S164:S166"/>
    <mergeCell ref="T164:T166"/>
    <mergeCell ref="A161:A163"/>
    <mergeCell ref="B161:B163"/>
    <mergeCell ref="C161:C163"/>
    <mergeCell ref="I161:I163"/>
    <mergeCell ref="J161:J163"/>
    <mergeCell ref="K161:K163"/>
    <mergeCell ref="L161:L163"/>
    <mergeCell ref="M161:M163"/>
    <mergeCell ref="Q167:Q169"/>
    <mergeCell ref="R167:R169"/>
    <mergeCell ref="AP161:AP163"/>
    <mergeCell ref="AQ161:AQ163"/>
    <mergeCell ref="AR161:AR163"/>
    <mergeCell ref="AS161:AS163"/>
    <mergeCell ref="AJ161:AJ163"/>
    <mergeCell ref="AK161:AK163"/>
    <mergeCell ref="AL161:AL163"/>
    <mergeCell ref="AM161:AM163"/>
    <mergeCell ref="AN161:AN163"/>
    <mergeCell ref="AO161:AO163"/>
    <mergeCell ref="N161:N163"/>
    <mergeCell ref="O161:O163"/>
    <mergeCell ref="P161:P163"/>
    <mergeCell ref="Q161:Q163"/>
    <mergeCell ref="R161:R163"/>
    <mergeCell ref="S161:S163"/>
    <mergeCell ref="AU159:BB159"/>
    <mergeCell ref="AU160:BB160"/>
    <mergeCell ref="AN158:AN160"/>
    <mergeCell ref="AO158:AO160"/>
    <mergeCell ref="AP158:AP160"/>
    <mergeCell ref="AQ158:AQ160"/>
    <mergeCell ref="AR158:AR160"/>
    <mergeCell ref="AS158:AS160"/>
    <mergeCell ref="N158:N160"/>
    <mergeCell ref="O158:O160"/>
    <mergeCell ref="P158:P160"/>
    <mergeCell ref="Q158:Q160"/>
    <mergeCell ref="R158:R160"/>
    <mergeCell ref="S158:S160"/>
    <mergeCell ref="AP164:AP166"/>
    <mergeCell ref="AQ164:AQ166"/>
    <mergeCell ref="AR164:AR166"/>
    <mergeCell ref="AS164:AS166"/>
    <mergeCell ref="AJ164:AJ166"/>
    <mergeCell ref="AK164:AK166"/>
    <mergeCell ref="AL164:AL166"/>
    <mergeCell ref="AM164:AM166"/>
    <mergeCell ref="AN164:AN166"/>
    <mergeCell ref="AO164:AO166"/>
    <mergeCell ref="M164:M166"/>
    <mergeCell ref="N164:N166"/>
    <mergeCell ref="O164:O166"/>
    <mergeCell ref="P164:P166"/>
    <mergeCell ref="Q164:Q166"/>
    <mergeCell ref="R164:R166"/>
    <mergeCell ref="L170:L172"/>
    <mergeCell ref="M170:M172"/>
    <mergeCell ref="N170:N172"/>
    <mergeCell ref="O170:O172"/>
    <mergeCell ref="P170:P172"/>
    <mergeCell ref="Q170:Q172"/>
    <mergeCell ref="A170:A172"/>
    <mergeCell ref="B170:B172"/>
    <mergeCell ref="C170:C172"/>
    <mergeCell ref="G170:G184"/>
    <mergeCell ref="H170:H184"/>
    <mergeCell ref="I170:I172"/>
    <mergeCell ref="J170:J172"/>
    <mergeCell ref="K170:K172"/>
    <mergeCell ref="AN167:AN169"/>
    <mergeCell ref="AO167:AO169"/>
    <mergeCell ref="AP167:AP169"/>
    <mergeCell ref="AQ167:AQ169"/>
    <mergeCell ref="AR167:AR169"/>
    <mergeCell ref="AS167:AS169"/>
    <mergeCell ref="S167:S169"/>
    <mergeCell ref="T167:T169"/>
    <mergeCell ref="AJ167:AJ169"/>
    <mergeCell ref="AK167:AK169"/>
    <mergeCell ref="AL167:AL169"/>
    <mergeCell ref="AM167:AM169"/>
    <mergeCell ref="M167:M169"/>
    <mergeCell ref="N167:N169"/>
    <mergeCell ref="O167:O169"/>
    <mergeCell ref="P167:P169"/>
    <mergeCell ref="AS170:AS172"/>
    <mergeCell ref="A173:A175"/>
    <mergeCell ref="B173:B175"/>
    <mergeCell ref="C173:C175"/>
    <mergeCell ref="I173:I175"/>
    <mergeCell ref="J173:J175"/>
    <mergeCell ref="B167:B169"/>
    <mergeCell ref="C167:C169"/>
    <mergeCell ref="M173:M175"/>
    <mergeCell ref="AM170:AM172"/>
    <mergeCell ref="AN170:AN172"/>
    <mergeCell ref="AO170:AO172"/>
    <mergeCell ref="AP170:AP172"/>
    <mergeCell ref="AQ170:AQ172"/>
    <mergeCell ref="AR170:AR172"/>
    <mergeCell ref="AG170:AG184"/>
    <mergeCell ref="AH170:AH184"/>
    <mergeCell ref="AI170:AI184"/>
    <mergeCell ref="AJ170:AJ172"/>
    <mergeCell ref="AK170:AK172"/>
    <mergeCell ref="AL170:AL172"/>
    <mergeCell ref="AJ173:AJ175"/>
    <mergeCell ref="AK173:AK175"/>
    <mergeCell ref="AL173:AL175"/>
    <mergeCell ref="AJ176:AJ178"/>
    <mergeCell ref="R170:R172"/>
    <mergeCell ref="S170:S172"/>
    <mergeCell ref="T170:T172"/>
    <mergeCell ref="AD170:AD184"/>
    <mergeCell ref="AE170:AE184"/>
    <mergeCell ref="AF170:AF184"/>
    <mergeCell ref="T173:T175"/>
    <mergeCell ref="P176:P178"/>
    <mergeCell ref="Q176:Q178"/>
    <mergeCell ref="R176:R178"/>
    <mergeCell ref="S176:S178"/>
    <mergeCell ref="R179:R181"/>
    <mergeCell ref="S179:S181"/>
    <mergeCell ref="O182:O184"/>
    <mergeCell ref="P182:P184"/>
    <mergeCell ref="AS173:AS175"/>
    <mergeCell ref="B176:B178"/>
    <mergeCell ref="C176:C178"/>
    <mergeCell ref="I176:I178"/>
    <mergeCell ref="J176:J178"/>
    <mergeCell ref="K176:K178"/>
    <mergeCell ref="L176:L178"/>
    <mergeCell ref="M176:M178"/>
    <mergeCell ref="AM173:AM175"/>
    <mergeCell ref="AN173:AN175"/>
    <mergeCell ref="AO173:AO175"/>
    <mergeCell ref="AP173:AP175"/>
    <mergeCell ref="AQ173:AQ175"/>
    <mergeCell ref="AR173:AR175"/>
    <mergeCell ref="N173:N175"/>
    <mergeCell ref="O173:O175"/>
    <mergeCell ref="P173:P175"/>
    <mergeCell ref="Q173:Q175"/>
    <mergeCell ref="R173:R175"/>
    <mergeCell ref="S173:S175"/>
    <mergeCell ref="T176:T178"/>
    <mergeCell ref="AQ176:AQ178"/>
    <mergeCell ref="AR176:AR178"/>
    <mergeCell ref="AS176:AS178"/>
    <mergeCell ref="AK176:AK178"/>
    <mergeCell ref="AL176:AL178"/>
    <mergeCell ref="AM176:AM178"/>
    <mergeCell ref="AN176:AN178"/>
    <mergeCell ref="AO176:AO178"/>
    <mergeCell ref="AP176:AP178"/>
    <mergeCell ref="N176:N178"/>
    <mergeCell ref="O176:O178"/>
    <mergeCell ref="I182:I184"/>
    <mergeCell ref="J182:J184"/>
    <mergeCell ref="K182:K184"/>
    <mergeCell ref="AO179:AO181"/>
    <mergeCell ref="AP179:AP181"/>
    <mergeCell ref="AQ179:AQ181"/>
    <mergeCell ref="AR179:AR181"/>
    <mergeCell ref="AS179:AS181"/>
    <mergeCell ref="T179:T181"/>
    <mergeCell ref="AJ179:AJ181"/>
    <mergeCell ref="AK179:AK181"/>
    <mergeCell ref="AL179:AL181"/>
    <mergeCell ref="AM179:AM181"/>
    <mergeCell ref="AN179:AN181"/>
    <mergeCell ref="L179:L181"/>
    <mergeCell ref="M179:M181"/>
    <mergeCell ref="N179:N181"/>
    <mergeCell ref="O179:O181"/>
    <mergeCell ref="P179:P181"/>
    <mergeCell ref="Q179:Q181"/>
    <mergeCell ref="J185:J187"/>
    <mergeCell ref="K185:K187"/>
    <mergeCell ref="L185:L187"/>
    <mergeCell ref="M185:M187"/>
    <mergeCell ref="N185:N187"/>
    <mergeCell ref="AS182:AS184"/>
    <mergeCell ref="A185:A187"/>
    <mergeCell ref="B185:B187"/>
    <mergeCell ref="C185:C187"/>
    <mergeCell ref="E185:E190"/>
    <mergeCell ref="F185:F190"/>
    <mergeCell ref="G185:G187"/>
    <mergeCell ref="H185:H187"/>
    <mergeCell ref="AM182:AM184"/>
    <mergeCell ref="AN182:AN184"/>
    <mergeCell ref="AO182:AO184"/>
    <mergeCell ref="AP182:AP184"/>
    <mergeCell ref="AQ182:AQ184"/>
    <mergeCell ref="AR182:AR184"/>
    <mergeCell ref="R182:R184"/>
    <mergeCell ref="S182:S184"/>
    <mergeCell ref="T182:T184"/>
    <mergeCell ref="AJ182:AJ184"/>
    <mergeCell ref="AK182:AK184"/>
    <mergeCell ref="AL182:AL184"/>
    <mergeCell ref="L182:L184"/>
    <mergeCell ref="M182:M184"/>
    <mergeCell ref="N182:N184"/>
    <mergeCell ref="Q182:Q184"/>
    <mergeCell ref="A182:A184"/>
    <mergeCell ref="B182:B184"/>
    <mergeCell ref="C182:C184"/>
    <mergeCell ref="M188:M190"/>
    <mergeCell ref="N188:N190"/>
    <mergeCell ref="AP185:AP187"/>
    <mergeCell ref="AQ185:AQ187"/>
    <mergeCell ref="AR185:AR187"/>
    <mergeCell ref="AS185:AS187"/>
    <mergeCell ref="A188:A190"/>
    <mergeCell ref="B188:B190"/>
    <mergeCell ref="C188:C190"/>
    <mergeCell ref="G188:G190"/>
    <mergeCell ref="H188:H190"/>
    <mergeCell ref="AJ185:AJ187"/>
    <mergeCell ref="AK185:AK187"/>
    <mergeCell ref="AL185:AL187"/>
    <mergeCell ref="AM185:AM187"/>
    <mergeCell ref="AN185:AN187"/>
    <mergeCell ref="AO185:AO187"/>
    <mergeCell ref="AD185:AD190"/>
    <mergeCell ref="AE185:AE190"/>
    <mergeCell ref="AF185:AF190"/>
    <mergeCell ref="AG185:AG190"/>
    <mergeCell ref="AH185:AH187"/>
    <mergeCell ref="AI185:AI187"/>
    <mergeCell ref="AH188:AH190"/>
    <mergeCell ref="AI188:AI190"/>
    <mergeCell ref="O185:O187"/>
    <mergeCell ref="P185:P187"/>
    <mergeCell ref="Q185:Q187"/>
    <mergeCell ref="R185:R187"/>
    <mergeCell ref="S185:S187"/>
    <mergeCell ref="T185:T187"/>
    <mergeCell ref="I185:I187"/>
    <mergeCell ref="O191:O193"/>
    <mergeCell ref="P191:P193"/>
    <mergeCell ref="Q191:Q193"/>
    <mergeCell ref="R191:R193"/>
    <mergeCell ref="S191:S193"/>
    <mergeCell ref="H191:H193"/>
    <mergeCell ref="I191:I193"/>
    <mergeCell ref="J191:J193"/>
    <mergeCell ref="K191:K193"/>
    <mergeCell ref="L191:L193"/>
    <mergeCell ref="M191:M193"/>
    <mergeCell ref="AP188:AP190"/>
    <mergeCell ref="AQ188:AQ190"/>
    <mergeCell ref="AR188:AR190"/>
    <mergeCell ref="AS188:AS190"/>
    <mergeCell ref="A191:A193"/>
    <mergeCell ref="C191:C193"/>
    <mergeCell ref="E191:E193"/>
    <mergeCell ref="F191:F193"/>
    <mergeCell ref="G191:G193"/>
    <mergeCell ref="AJ188:AJ190"/>
    <mergeCell ref="AK188:AK190"/>
    <mergeCell ref="AL188:AL190"/>
    <mergeCell ref="AM188:AM190"/>
    <mergeCell ref="AN188:AN190"/>
    <mergeCell ref="AO188:AO190"/>
    <mergeCell ref="O188:O190"/>
    <mergeCell ref="P188:P190"/>
    <mergeCell ref="Q188:Q190"/>
    <mergeCell ref="R188:R190"/>
    <mergeCell ref="S188:S190"/>
    <mergeCell ref="T188:T190"/>
    <mergeCell ref="D203:AS203"/>
    <mergeCell ref="D204:D206"/>
    <mergeCell ref="E204:E206"/>
    <mergeCell ref="F204:F206"/>
    <mergeCell ref="G204:G206"/>
    <mergeCell ref="H204:H206"/>
    <mergeCell ref="I204:I206"/>
    <mergeCell ref="J204:J206"/>
    <mergeCell ref="Q195:U195"/>
    <mergeCell ref="Q196:U196"/>
    <mergeCell ref="Q197:U197"/>
    <mergeCell ref="Q198:U198"/>
    <mergeCell ref="Q199:U199"/>
    <mergeCell ref="Q200:U200"/>
    <mergeCell ref="AO191:AO193"/>
    <mergeCell ref="AP191:AP193"/>
    <mergeCell ref="AQ191:AQ193"/>
    <mergeCell ref="AR191:AR193"/>
    <mergeCell ref="AS191:AS193"/>
    <mergeCell ref="AI191:AI193"/>
    <mergeCell ref="AJ191:AJ193"/>
    <mergeCell ref="AK191:AK193"/>
    <mergeCell ref="AL191:AL193"/>
    <mergeCell ref="AM191:AM193"/>
    <mergeCell ref="AN191:AN193"/>
    <mergeCell ref="T191:T193"/>
    <mergeCell ref="AD191:AD193"/>
    <mergeCell ref="AE191:AE193"/>
    <mergeCell ref="AF191:AF193"/>
    <mergeCell ref="AG191:AG193"/>
    <mergeCell ref="AH191:AH193"/>
    <mergeCell ref="N191:N193"/>
    <mergeCell ref="BD204:BD206"/>
    <mergeCell ref="U205:Y205"/>
    <mergeCell ref="Z205:AC205"/>
    <mergeCell ref="AD205:AD206"/>
    <mergeCell ref="AE205:AE206"/>
    <mergeCell ref="AF205:AF206"/>
    <mergeCell ref="AT204:AT206"/>
    <mergeCell ref="AH204:AH206"/>
    <mergeCell ref="AI204:AI206"/>
    <mergeCell ref="AJ204:AM205"/>
    <mergeCell ref="AN204:AS205"/>
    <mergeCell ref="S204:S206"/>
    <mergeCell ref="T204:T206"/>
    <mergeCell ref="U204:Y204"/>
    <mergeCell ref="Z204:AC204"/>
    <mergeCell ref="AD204:AF204"/>
    <mergeCell ref="AG204:AG206"/>
    <mergeCell ref="AY204:BB205"/>
    <mergeCell ref="K204:M205"/>
    <mergeCell ref="N204:N206"/>
    <mergeCell ref="O204:O206"/>
    <mergeCell ref="P204:P206"/>
    <mergeCell ref="Q204:Q206"/>
    <mergeCell ref="R204:R206"/>
    <mergeCell ref="I210:I212"/>
    <mergeCell ref="J210:J212"/>
    <mergeCell ref="K210:K212"/>
    <mergeCell ref="AN207:AN209"/>
    <mergeCell ref="AO207:AO209"/>
    <mergeCell ref="AP207:AP209"/>
    <mergeCell ref="AQ207:AQ209"/>
    <mergeCell ref="AR207:AR209"/>
    <mergeCell ref="AS207:AS209"/>
    <mergeCell ref="BC204:BC206"/>
    <mergeCell ref="Q219:Q221"/>
    <mergeCell ref="R219:R221"/>
    <mergeCell ref="S219:S221"/>
    <mergeCell ref="T219:T221"/>
    <mergeCell ref="AH219:AH221"/>
    <mergeCell ref="M231:M233"/>
    <mergeCell ref="N231:N233"/>
    <mergeCell ref="N249:N251"/>
    <mergeCell ref="O249:O251"/>
    <mergeCell ref="P249:P251"/>
    <mergeCell ref="G207:G209"/>
    <mergeCell ref="H207:H209"/>
    <mergeCell ref="I207:I209"/>
    <mergeCell ref="J207:J209"/>
    <mergeCell ref="K207:K209"/>
    <mergeCell ref="L207:L209"/>
    <mergeCell ref="A207:A209"/>
    <mergeCell ref="B207:B209"/>
    <mergeCell ref="C207:C209"/>
    <mergeCell ref="D207:D254"/>
    <mergeCell ref="E207:E239"/>
    <mergeCell ref="F207:F239"/>
    <mergeCell ref="A216:A218"/>
    <mergeCell ref="B216:B218"/>
    <mergeCell ref="C216:C218"/>
    <mergeCell ref="A222:A224"/>
    <mergeCell ref="M210:M212"/>
    <mergeCell ref="N210:N212"/>
    <mergeCell ref="O210:O212"/>
    <mergeCell ref="P210:P212"/>
    <mergeCell ref="Q210:Q212"/>
    <mergeCell ref="A210:A212"/>
    <mergeCell ref="B210:B212"/>
    <mergeCell ref="C210:C212"/>
    <mergeCell ref="G210:G212"/>
    <mergeCell ref="H210:H212"/>
    <mergeCell ref="AH207:AH209"/>
    <mergeCell ref="AI207:AI209"/>
    <mergeCell ref="AJ207:AJ209"/>
    <mergeCell ref="AK207:AK209"/>
    <mergeCell ref="AL207:AL209"/>
    <mergeCell ref="AM207:AM209"/>
    <mergeCell ref="S207:S209"/>
    <mergeCell ref="T207:T209"/>
    <mergeCell ref="AD207:AD251"/>
    <mergeCell ref="AE207:AE251"/>
    <mergeCell ref="AF207:AF251"/>
    <mergeCell ref="AG207:AG251"/>
    <mergeCell ref="S216:S218"/>
    <mergeCell ref="T216:T218"/>
    <mergeCell ref="S222:S224"/>
    <mergeCell ref="T222:T224"/>
    <mergeCell ref="M207:M209"/>
    <mergeCell ref="N207:N209"/>
    <mergeCell ref="O207:O209"/>
    <mergeCell ref="P207:P209"/>
    <mergeCell ref="Q207:Q209"/>
    <mergeCell ref="R207:R209"/>
    <mergeCell ref="J213:J215"/>
    <mergeCell ref="K213:K215"/>
    <mergeCell ref="L213:L215"/>
    <mergeCell ref="M213:M215"/>
    <mergeCell ref="N213:N215"/>
    <mergeCell ref="O213:O215"/>
    <mergeCell ref="AN216:AN218"/>
    <mergeCell ref="AO216:AO218"/>
    <mergeCell ref="AP216:AP218"/>
    <mergeCell ref="AQ216:AQ218"/>
    <mergeCell ref="AQ210:AQ212"/>
    <mergeCell ref="AR210:AR212"/>
    <mergeCell ref="AS210:AS212"/>
    <mergeCell ref="A213:A215"/>
    <mergeCell ref="B213:B215"/>
    <mergeCell ref="C213:C215"/>
    <mergeCell ref="G213:G215"/>
    <mergeCell ref="H213:H215"/>
    <mergeCell ref="I213:I215"/>
    <mergeCell ref="AK210:AK212"/>
    <mergeCell ref="AL210:AL212"/>
    <mergeCell ref="AM210:AM212"/>
    <mergeCell ref="AN210:AN212"/>
    <mergeCell ref="AO210:AO212"/>
    <mergeCell ref="AP210:AP212"/>
    <mergeCell ref="R210:R212"/>
    <mergeCell ref="S210:S212"/>
    <mergeCell ref="T210:T212"/>
    <mergeCell ref="AH210:AH212"/>
    <mergeCell ref="AI210:AI212"/>
    <mergeCell ref="AJ210:AJ212"/>
    <mergeCell ref="L210:L212"/>
    <mergeCell ref="AO213:AO215"/>
    <mergeCell ref="AP213:AP215"/>
    <mergeCell ref="AQ213:AQ215"/>
    <mergeCell ref="AR213:AR215"/>
    <mergeCell ref="AS213:AS215"/>
    <mergeCell ref="AI213:AI215"/>
    <mergeCell ref="AJ213:AJ215"/>
    <mergeCell ref="AK213:AK215"/>
    <mergeCell ref="AL213:AL215"/>
    <mergeCell ref="AM213:AM215"/>
    <mergeCell ref="AN213:AN215"/>
    <mergeCell ref="P213:P215"/>
    <mergeCell ref="Q213:Q215"/>
    <mergeCell ref="R213:R215"/>
    <mergeCell ref="S213:S215"/>
    <mergeCell ref="T213:T215"/>
    <mergeCell ref="AH213:AH215"/>
    <mergeCell ref="AR216:AR218"/>
    <mergeCell ref="AS216:AS218"/>
    <mergeCell ref="AH216:AH218"/>
    <mergeCell ref="AI216:AI218"/>
    <mergeCell ref="AJ216:AJ218"/>
    <mergeCell ref="AK216:AK218"/>
    <mergeCell ref="AL216:AL218"/>
    <mergeCell ref="AM216:AM218"/>
    <mergeCell ref="M216:M218"/>
    <mergeCell ref="N216:N218"/>
    <mergeCell ref="O216:O218"/>
    <mergeCell ref="P216:P218"/>
    <mergeCell ref="Q216:Q218"/>
    <mergeCell ref="R216:R218"/>
    <mergeCell ref="B222:B224"/>
    <mergeCell ref="C222:C224"/>
    <mergeCell ref="I222:I224"/>
    <mergeCell ref="J222:J224"/>
    <mergeCell ref="K222:K224"/>
    <mergeCell ref="L222:L224"/>
    <mergeCell ref="AO219:AO221"/>
    <mergeCell ref="AP219:AP221"/>
    <mergeCell ref="AQ219:AQ221"/>
    <mergeCell ref="AR219:AR221"/>
    <mergeCell ref="AS219:AS221"/>
    <mergeCell ref="AI219:AI221"/>
    <mergeCell ref="AJ219:AJ221"/>
    <mergeCell ref="AK219:AK221"/>
    <mergeCell ref="AL219:AL221"/>
    <mergeCell ref="AM219:AM221"/>
    <mergeCell ref="AN219:AN221"/>
    <mergeCell ref="P219:P221"/>
    <mergeCell ref="AN222:AN224"/>
    <mergeCell ref="AO222:AO224"/>
    <mergeCell ref="AP222:AP224"/>
    <mergeCell ref="AQ222:AQ224"/>
    <mergeCell ref="AR222:AR224"/>
    <mergeCell ref="AS222:AS224"/>
    <mergeCell ref="AH222:AH224"/>
    <mergeCell ref="AI222:AI224"/>
    <mergeCell ref="AJ222:AJ224"/>
    <mergeCell ref="AK222:AK224"/>
    <mergeCell ref="AL222:AL224"/>
    <mergeCell ref="AM222:AM224"/>
    <mergeCell ref="M222:M224"/>
    <mergeCell ref="N222:N224"/>
    <mergeCell ref="O222:O224"/>
    <mergeCell ref="P222:P224"/>
    <mergeCell ref="Q222:Q224"/>
    <mergeCell ref="R222:R224"/>
    <mergeCell ref="B225:B227"/>
    <mergeCell ref="C225:C227"/>
    <mergeCell ref="I225:I227"/>
    <mergeCell ref="J225:J227"/>
    <mergeCell ref="K225:K227"/>
    <mergeCell ref="L225:L227"/>
    <mergeCell ref="B219:B221"/>
    <mergeCell ref="C219:C221"/>
    <mergeCell ref="I219:I221"/>
    <mergeCell ref="J219:J221"/>
    <mergeCell ref="K219:K221"/>
    <mergeCell ref="L219:L221"/>
    <mergeCell ref="M219:M221"/>
    <mergeCell ref="N219:N221"/>
    <mergeCell ref="O219:O221"/>
    <mergeCell ref="M225:M227"/>
    <mergeCell ref="N225:N227"/>
    <mergeCell ref="H216:H239"/>
    <mergeCell ref="I216:I218"/>
    <mergeCell ref="J216:J218"/>
    <mergeCell ref="K216:K218"/>
    <mergeCell ref="L216:L218"/>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O225:O227"/>
    <mergeCell ref="P225:P227"/>
    <mergeCell ref="Q225:Q227"/>
    <mergeCell ref="R225:R227"/>
    <mergeCell ref="S225:S227"/>
    <mergeCell ref="T225:T227"/>
    <mergeCell ref="B231:B233"/>
    <mergeCell ref="C231:C233"/>
    <mergeCell ref="I231:I233"/>
    <mergeCell ref="J231:J233"/>
    <mergeCell ref="K231:K233"/>
    <mergeCell ref="L231:L233"/>
    <mergeCell ref="AN228:AN230"/>
    <mergeCell ref="AO228:AO230"/>
    <mergeCell ref="AP228:AP230"/>
    <mergeCell ref="AQ228:AQ230"/>
    <mergeCell ref="AR228:AR230"/>
    <mergeCell ref="AS228:AS230"/>
    <mergeCell ref="AH228:AH230"/>
    <mergeCell ref="AI228:AI230"/>
    <mergeCell ref="AJ228:AJ230"/>
    <mergeCell ref="AK228:AK230"/>
    <mergeCell ref="AL228:AL230"/>
    <mergeCell ref="AM228:AM230"/>
    <mergeCell ref="O228:O230"/>
    <mergeCell ref="P228:P230"/>
    <mergeCell ref="Q228:Q230"/>
    <mergeCell ref="R228:R230"/>
    <mergeCell ref="S228:S230"/>
    <mergeCell ref="T228:T230"/>
    <mergeCell ref="B228:B230"/>
    <mergeCell ref="C228:C230"/>
    <mergeCell ref="I228:I230"/>
    <mergeCell ref="J228:J230"/>
    <mergeCell ref="K228:K230"/>
    <mergeCell ref="L228:L230"/>
    <mergeCell ref="M228:M230"/>
    <mergeCell ref="N228:N230"/>
    <mergeCell ref="AN231:AN233"/>
    <mergeCell ref="AO231:AO233"/>
    <mergeCell ref="AP231:AP233"/>
    <mergeCell ref="AQ231:AQ233"/>
    <mergeCell ref="AR231:AR233"/>
    <mergeCell ref="AS231:AS233"/>
    <mergeCell ref="AH231:AH233"/>
    <mergeCell ref="AI231:AI233"/>
    <mergeCell ref="AJ231:AJ233"/>
    <mergeCell ref="AK231:AK233"/>
    <mergeCell ref="AL231:AL233"/>
    <mergeCell ref="AM231:AM233"/>
    <mergeCell ref="O231:O233"/>
    <mergeCell ref="P231:P233"/>
    <mergeCell ref="Q231:Q233"/>
    <mergeCell ref="R231:R233"/>
    <mergeCell ref="S231:S233"/>
    <mergeCell ref="T231:T233"/>
    <mergeCell ref="AK234:AK236"/>
    <mergeCell ref="AL234:AL236"/>
    <mergeCell ref="AM234:AM236"/>
    <mergeCell ref="O234:O236"/>
    <mergeCell ref="P234:P236"/>
    <mergeCell ref="Q234:Q236"/>
    <mergeCell ref="R234:R236"/>
    <mergeCell ref="S234:S236"/>
    <mergeCell ref="T234:T236"/>
    <mergeCell ref="B234:B236"/>
    <mergeCell ref="C234:C236"/>
    <mergeCell ref="I234:I239"/>
    <mergeCell ref="J234:J236"/>
    <mergeCell ref="K234:K236"/>
    <mergeCell ref="L234:L236"/>
    <mergeCell ref="M234:M236"/>
    <mergeCell ref="N234:N236"/>
    <mergeCell ref="AR237:AR239"/>
    <mergeCell ref="AS237:AS239"/>
    <mergeCell ref="AI237:AI239"/>
    <mergeCell ref="AJ237:AJ239"/>
    <mergeCell ref="AK237:AK239"/>
    <mergeCell ref="AL237:AL239"/>
    <mergeCell ref="AM237:AM239"/>
    <mergeCell ref="AN237:AN239"/>
    <mergeCell ref="P237:P239"/>
    <mergeCell ref="Q237:Q239"/>
    <mergeCell ref="R237:R239"/>
    <mergeCell ref="S237:S239"/>
    <mergeCell ref="T237:T239"/>
    <mergeCell ref="AH237:AH239"/>
    <mergeCell ref="B237:B239"/>
    <mergeCell ref="C237:C239"/>
    <mergeCell ref="J237:J239"/>
    <mergeCell ref="K237:K239"/>
    <mergeCell ref="L237:L239"/>
    <mergeCell ref="M237:M239"/>
    <mergeCell ref="N237:N239"/>
    <mergeCell ref="O237:O239"/>
    <mergeCell ref="G216:G239"/>
    <mergeCell ref="AN234:AN236"/>
    <mergeCell ref="AO234:AO236"/>
    <mergeCell ref="AP234:AP236"/>
    <mergeCell ref="AQ234:AQ236"/>
    <mergeCell ref="AR234:AR236"/>
    <mergeCell ref="AS234:AS236"/>
    <mergeCell ref="AH234:AH236"/>
    <mergeCell ref="AI234:AI236"/>
    <mergeCell ref="AJ234:AJ236"/>
    <mergeCell ref="I240:I242"/>
    <mergeCell ref="J240:J242"/>
    <mergeCell ref="K240:K242"/>
    <mergeCell ref="L240:L242"/>
    <mergeCell ref="M240:M242"/>
    <mergeCell ref="N240:N242"/>
    <mergeCell ref="Q246:Q248"/>
    <mergeCell ref="R246:R248"/>
    <mergeCell ref="B240:B242"/>
    <mergeCell ref="C240:C242"/>
    <mergeCell ref="E240:E242"/>
    <mergeCell ref="F240:F242"/>
    <mergeCell ref="G240:G242"/>
    <mergeCell ref="H240:H242"/>
    <mergeCell ref="AO237:AO239"/>
    <mergeCell ref="AP237:AP239"/>
    <mergeCell ref="AQ237:AQ239"/>
    <mergeCell ref="K243:K245"/>
    <mergeCell ref="AN240:AN242"/>
    <mergeCell ref="AO240:AO242"/>
    <mergeCell ref="AP240:AP242"/>
    <mergeCell ref="AQ240:AQ242"/>
    <mergeCell ref="AR240:AR242"/>
    <mergeCell ref="AS240:AS242"/>
    <mergeCell ref="AH240:AH242"/>
    <mergeCell ref="AI240:AI242"/>
    <mergeCell ref="AJ240:AJ242"/>
    <mergeCell ref="AK240:AK242"/>
    <mergeCell ref="AL240:AL242"/>
    <mergeCell ref="AM240:AM242"/>
    <mergeCell ref="O240:O242"/>
    <mergeCell ref="P240:P242"/>
    <mergeCell ref="Q240:Q242"/>
    <mergeCell ref="R240:R242"/>
    <mergeCell ref="S240:S242"/>
    <mergeCell ref="T240:T242"/>
    <mergeCell ref="AQ243:AQ245"/>
    <mergeCell ref="AR243:AR245"/>
    <mergeCell ref="AS243:AS245"/>
    <mergeCell ref="B246:B248"/>
    <mergeCell ref="C246:C248"/>
    <mergeCell ref="I246:I248"/>
    <mergeCell ref="J246:J248"/>
    <mergeCell ref="K246:K248"/>
    <mergeCell ref="L246:L248"/>
    <mergeCell ref="AK243:AK245"/>
    <mergeCell ref="AL243:AL245"/>
    <mergeCell ref="AM243:AM245"/>
    <mergeCell ref="AN243:AN245"/>
    <mergeCell ref="AO243:AO245"/>
    <mergeCell ref="AP243:AP245"/>
    <mergeCell ref="R243:R245"/>
    <mergeCell ref="S243:S245"/>
    <mergeCell ref="T243:T245"/>
    <mergeCell ref="AH243:AH245"/>
    <mergeCell ref="AI243:AI245"/>
    <mergeCell ref="AJ243:AJ245"/>
    <mergeCell ref="L243:L245"/>
    <mergeCell ref="M243:M245"/>
    <mergeCell ref="N243:N245"/>
    <mergeCell ref="O243:O245"/>
    <mergeCell ref="P243:P245"/>
    <mergeCell ref="Q243:Q245"/>
    <mergeCell ref="B243:B245"/>
    <mergeCell ref="C243:C245"/>
    <mergeCell ref="E243:E251"/>
    <mergeCell ref="AK249:AK251"/>
    <mergeCell ref="M249:M251"/>
    <mergeCell ref="Q249:Q251"/>
    <mergeCell ref="R249:R251"/>
    <mergeCell ref="AR246:AR248"/>
    <mergeCell ref="AS246:AS248"/>
    <mergeCell ref="A249:A251"/>
    <mergeCell ref="B249:B251"/>
    <mergeCell ref="C249:C251"/>
    <mergeCell ref="I249:I251"/>
    <mergeCell ref="J249:J251"/>
    <mergeCell ref="K249:K251"/>
    <mergeCell ref="L249:L251"/>
    <mergeCell ref="AL246:AL248"/>
    <mergeCell ref="AM246:AM248"/>
    <mergeCell ref="AN246:AN248"/>
    <mergeCell ref="AO246:AO248"/>
    <mergeCell ref="AP246:AP248"/>
    <mergeCell ref="AQ246:AQ248"/>
    <mergeCell ref="S246:S248"/>
    <mergeCell ref="T246:T248"/>
    <mergeCell ref="AH246:AH248"/>
    <mergeCell ref="AI246:AI248"/>
    <mergeCell ref="AJ246:AJ248"/>
    <mergeCell ref="AK246:AK248"/>
    <mergeCell ref="M246:M248"/>
    <mergeCell ref="N246:N248"/>
    <mergeCell ref="O246:O248"/>
    <mergeCell ref="P246:P248"/>
    <mergeCell ref="F243:F251"/>
    <mergeCell ref="G243:G251"/>
    <mergeCell ref="H243:H251"/>
    <mergeCell ref="I243:I245"/>
    <mergeCell ref="J243:J245"/>
    <mergeCell ref="P252:P254"/>
    <mergeCell ref="Q252:Q254"/>
    <mergeCell ref="R252:R254"/>
    <mergeCell ref="S252:S254"/>
    <mergeCell ref="T252:T254"/>
    <mergeCell ref="AD252:AD254"/>
    <mergeCell ref="J252:J254"/>
    <mergeCell ref="K252:K254"/>
    <mergeCell ref="L252:L254"/>
    <mergeCell ref="M252:M254"/>
    <mergeCell ref="N252:N254"/>
    <mergeCell ref="O252:O254"/>
    <mergeCell ref="AR249:AR251"/>
    <mergeCell ref="AS249:AS251"/>
    <mergeCell ref="B252:B254"/>
    <mergeCell ref="C252:C254"/>
    <mergeCell ref="E252:E254"/>
    <mergeCell ref="F252:F254"/>
    <mergeCell ref="G252:G254"/>
    <mergeCell ref="H252:H254"/>
    <mergeCell ref="I252:I254"/>
    <mergeCell ref="AL249:AL251"/>
    <mergeCell ref="AM249:AM251"/>
    <mergeCell ref="AN249:AN251"/>
    <mergeCell ref="AO249:AO251"/>
    <mergeCell ref="AP249:AP251"/>
    <mergeCell ref="AQ249:AQ251"/>
    <mergeCell ref="S249:S251"/>
    <mergeCell ref="T249:T251"/>
    <mergeCell ref="AH249:AH251"/>
    <mergeCell ref="AI249:AI251"/>
    <mergeCell ref="AJ249:AJ251"/>
    <mergeCell ref="AQ252:AQ254"/>
    <mergeCell ref="AR252:AR254"/>
    <mergeCell ref="AS252:AS254"/>
    <mergeCell ref="Q256:U256"/>
    <mergeCell ref="Q257:U257"/>
    <mergeCell ref="AK252:AK254"/>
    <mergeCell ref="AL252:AL254"/>
    <mergeCell ref="AM252:AM254"/>
    <mergeCell ref="AN252:AN254"/>
    <mergeCell ref="AO252:AO254"/>
    <mergeCell ref="AP252:AP254"/>
    <mergeCell ref="AE252:AE254"/>
    <mergeCell ref="AF252:AF254"/>
    <mergeCell ref="AG252:AG254"/>
    <mergeCell ref="AH252:AH254"/>
    <mergeCell ref="AI252:AI254"/>
    <mergeCell ref="AJ252:AJ254"/>
    <mergeCell ref="O265:O267"/>
    <mergeCell ref="P265:P267"/>
    <mergeCell ref="Q265:Q267"/>
    <mergeCell ref="R265:R267"/>
    <mergeCell ref="S265:S267"/>
    <mergeCell ref="T265:T267"/>
    <mergeCell ref="BC264:BD264"/>
    <mergeCell ref="D265:D267"/>
    <mergeCell ref="E265:E267"/>
    <mergeCell ref="F265:F267"/>
    <mergeCell ref="G265:G267"/>
    <mergeCell ref="H265:H267"/>
    <mergeCell ref="I265:I267"/>
    <mergeCell ref="J265:J267"/>
    <mergeCell ref="K265:M266"/>
    <mergeCell ref="N265:N267"/>
    <mergeCell ref="Q258:U258"/>
    <mergeCell ref="Q259:U259"/>
    <mergeCell ref="Q260:U260"/>
    <mergeCell ref="Q261:U261"/>
    <mergeCell ref="D264:AS264"/>
    <mergeCell ref="BD265:BD267"/>
    <mergeCell ref="U266:Y266"/>
    <mergeCell ref="Z266:AC266"/>
    <mergeCell ref="AD266:AD267"/>
    <mergeCell ref="AE266:AE267"/>
    <mergeCell ref="AF266:AF267"/>
    <mergeCell ref="BC265:BC267"/>
    <mergeCell ref="AY265:BB266"/>
    <mergeCell ref="AU265:AX266"/>
    <mergeCell ref="AT265:AT267"/>
    <mergeCell ref="AJ265:AM266"/>
    <mergeCell ref="AN265:AS266"/>
    <mergeCell ref="U265:Y265"/>
    <mergeCell ref="Z265:AC265"/>
    <mergeCell ref="AD265:AF265"/>
    <mergeCell ref="AG265:AG267"/>
    <mergeCell ref="AH265:AH267"/>
    <mergeCell ref="AI265:AI267"/>
    <mergeCell ref="O268:O270"/>
    <mergeCell ref="P268:P270"/>
    <mergeCell ref="Q268:Q270"/>
    <mergeCell ref="R268:R270"/>
    <mergeCell ref="G268:G294"/>
    <mergeCell ref="H268:H270"/>
    <mergeCell ref="I268:I270"/>
    <mergeCell ref="J268:J270"/>
    <mergeCell ref="K268:K270"/>
    <mergeCell ref="L268:L270"/>
    <mergeCell ref="H277:H279"/>
    <mergeCell ref="I277:I279"/>
    <mergeCell ref="J277:J279"/>
    <mergeCell ref="K277:K279"/>
    <mergeCell ref="AL268:AL270"/>
    <mergeCell ref="AM268:AM270"/>
    <mergeCell ref="S268:S270"/>
    <mergeCell ref="T268:T270"/>
    <mergeCell ref="AD268:AD270"/>
    <mergeCell ref="AE268:AE270"/>
    <mergeCell ref="AF268:AF270"/>
    <mergeCell ref="AG268:AG270"/>
    <mergeCell ref="M268:M270"/>
    <mergeCell ref="N268:N270"/>
    <mergeCell ref="AF277:AF279"/>
    <mergeCell ref="A268:A270"/>
    <mergeCell ref="B268:B270"/>
    <mergeCell ref="C268:C270"/>
    <mergeCell ref="D268:D300"/>
    <mergeCell ref="E268:E288"/>
    <mergeCell ref="F268:F288"/>
    <mergeCell ref="A277:A279"/>
    <mergeCell ref="B277:B279"/>
    <mergeCell ref="C277:C279"/>
    <mergeCell ref="A283:A285"/>
    <mergeCell ref="Q271:Q273"/>
    <mergeCell ref="R271:R273"/>
    <mergeCell ref="BC268:BC288"/>
    <mergeCell ref="BD268:BD294"/>
    <mergeCell ref="A271:A273"/>
    <mergeCell ref="B271:B273"/>
    <mergeCell ref="C271:C273"/>
    <mergeCell ref="H271:H273"/>
    <mergeCell ref="I271:I273"/>
    <mergeCell ref="J271:J273"/>
    <mergeCell ref="K271:K273"/>
    <mergeCell ref="L271:L273"/>
    <mergeCell ref="AN268:AN270"/>
    <mergeCell ref="AO268:AO270"/>
    <mergeCell ref="AP268:AP270"/>
    <mergeCell ref="AQ268:AQ270"/>
    <mergeCell ref="AR268:AR270"/>
    <mergeCell ref="AS268:AS270"/>
    <mergeCell ref="AH268:AH270"/>
    <mergeCell ref="AI268:AI270"/>
    <mergeCell ref="AJ268:AJ270"/>
    <mergeCell ref="AK268:AK270"/>
    <mergeCell ref="AU273:BB273"/>
    <mergeCell ref="A274:A276"/>
    <mergeCell ref="B274:B276"/>
    <mergeCell ref="C274:C276"/>
    <mergeCell ref="H274:H276"/>
    <mergeCell ref="I274:I276"/>
    <mergeCell ref="J274:J276"/>
    <mergeCell ref="K274:K276"/>
    <mergeCell ref="L274:L276"/>
    <mergeCell ref="M274:M276"/>
    <mergeCell ref="AN271:AN273"/>
    <mergeCell ref="AO271:AO273"/>
    <mergeCell ref="AP271:AP273"/>
    <mergeCell ref="AQ271:AQ273"/>
    <mergeCell ref="AR271:AR273"/>
    <mergeCell ref="AS271:AS273"/>
    <mergeCell ref="AH271:AH273"/>
    <mergeCell ref="AI271:AI273"/>
    <mergeCell ref="AJ271:AJ273"/>
    <mergeCell ref="AK271:AK273"/>
    <mergeCell ref="AL271:AL273"/>
    <mergeCell ref="AM271:AM273"/>
    <mergeCell ref="S271:S273"/>
    <mergeCell ref="T271:T273"/>
    <mergeCell ref="AD271:AD273"/>
    <mergeCell ref="AE271:AE273"/>
    <mergeCell ref="AF271:AF273"/>
    <mergeCell ref="AG271:AG273"/>
    <mergeCell ref="M271:M273"/>
    <mergeCell ref="N271:N273"/>
    <mergeCell ref="O271:O273"/>
    <mergeCell ref="P271:P273"/>
    <mergeCell ref="L277:L279"/>
    <mergeCell ref="M277:M279"/>
    <mergeCell ref="N277:N279"/>
    <mergeCell ref="O277:O279"/>
    <mergeCell ref="P277:P279"/>
    <mergeCell ref="Q277:Q279"/>
    <mergeCell ref="AO274:AO276"/>
    <mergeCell ref="AP274:AP276"/>
    <mergeCell ref="AQ274:AQ276"/>
    <mergeCell ref="AR274:AR276"/>
    <mergeCell ref="AS274:AS276"/>
    <mergeCell ref="AI274:AI276"/>
    <mergeCell ref="AJ274:AJ276"/>
    <mergeCell ref="AK274:AK276"/>
    <mergeCell ref="AL274:AL276"/>
    <mergeCell ref="AM274:AM276"/>
    <mergeCell ref="AN274:AN276"/>
    <mergeCell ref="T274:T276"/>
    <mergeCell ref="AD274:AD276"/>
    <mergeCell ref="AE274:AE276"/>
    <mergeCell ref="AF274:AF276"/>
    <mergeCell ref="AG274:AG276"/>
    <mergeCell ref="AH274:AH276"/>
    <mergeCell ref="N274:N276"/>
    <mergeCell ref="O274:O276"/>
    <mergeCell ref="P274:P276"/>
    <mergeCell ref="Q274:Q276"/>
    <mergeCell ref="R274:R276"/>
    <mergeCell ref="S274:S276"/>
    <mergeCell ref="N280:N282"/>
    <mergeCell ref="O280:O282"/>
    <mergeCell ref="P280:P282"/>
    <mergeCell ref="Q280:Q282"/>
    <mergeCell ref="R280:R282"/>
    <mergeCell ref="S280:S282"/>
    <mergeCell ref="AS277:AS279"/>
    <mergeCell ref="B280:B282"/>
    <mergeCell ref="C280:C282"/>
    <mergeCell ref="H280:H282"/>
    <mergeCell ref="I280:I282"/>
    <mergeCell ref="J280:J282"/>
    <mergeCell ref="K280:K282"/>
    <mergeCell ref="L280:L282"/>
    <mergeCell ref="M280:M282"/>
    <mergeCell ref="AM277:AM279"/>
    <mergeCell ref="AN277:AN279"/>
    <mergeCell ref="AO277:AO279"/>
    <mergeCell ref="AP277:AP279"/>
    <mergeCell ref="AQ277:AQ279"/>
    <mergeCell ref="AR277:AR279"/>
    <mergeCell ref="AG277:AG279"/>
    <mergeCell ref="AH277:AH279"/>
    <mergeCell ref="AI277:AI279"/>
    <mergeCell ref="AJ277:AJ279"/>
    <mergeCell ref="AK277:AK279"/>
    <mergeCell ref="AL277:AL279"/>
    <mergeCell ref="R277:R279"/>
    <mergeCell ref="S277:S279"/>
    <mergeCell ref="T277:T279"/>
    <mergeCell ref="AD277:AD279"/>
    <mergeCell ref="AE277:AE279"/>
    <mergeCell ref="AO280:AO282"/>
    <mergeCell ref="AP280:AP282"/>
    <mergeCell ref="AQ280:AQ282"/>
    <mergeCell ref="AR280:AR282"/>
    <mergeCell ref="AS280:AS282"/>
    <mergeCell ref="AI280:AI282"/>
    <mergeCell ref="AJ280:AJ282"/>
    <mergeCell ref="AK280:AK282"/>
    <mergeCell ref="AL280:AL282"/>
    <mergeCell ref="AM280:AM282"/>
    <mergeCell ref="AN280:AN282"/>
    <mergeCell ref="T280:T282"/>
    <mergeCell ref="AD280:AD282"/>
    <mergeCell ref="AE280:AE282"/>
    <mergeCell ref="AF280:AF282"/>
    <mergeCell ref="AG280:AG282"/>
    <mergeCell ref="AH280:AH282"/>
    <mergeCell ref="AK283:AK285"/>
    <mergeCell ref="AL283:AL285"/>
    <mergeCell ref="R283:R285"/>
    <mergeCell ref="S283:S285"/>
    <mergeCell ref="T283:T285"/>
    <mergeCell ref="AD283:AD285"/>
    <mergeCell ref="AE283:AE285"/>
    <mergeCell ref="AF283:AF285"/>
    <mergeCell ref="L283:L285"/>
    <mergeCell ref="M283:M285"/>
    <mergeCell ref="N283:N285"/>
    <mergeCell ref="O283:O285"/>
    <mergeCell ref="P283:P285"/>
    <mergeCell ref="Q283:Q285"/>
    <mergeCell ref="B283:B285"/>
    <mergeCell ref="C283:C285"/>
    <mergeCell ref="H283:H285"/>
    <mergeCell ref="I283:I285"/>
    <mergeCell ref="J283:J285"/>
    <mergeCell ref="K283:K285"/>
    <mergeCell ref="AM286:AM288"/>
    <mergeCell ref="S286:S288"/>
    <mergeCell ref="T286:T288"/>
    <mergeCell ref="AD286:AD288"/>
    <mergeCell ref="AE286:AE288"/>
    <mergeCell ref="AF286:AF288"/>
    <mergeCell ref="AG286:AG288"/>
    <mergeCell ref="M286:M288"/>
    <mergeCell ref="N286:N288"/>
    <mergeCell ref="O286:O288"/>
    <mergeCell ref="P286:P288"/>
    <mergeCell ref="Q286:Q288"/>
    <mergeCell ref="R286:R288"/>
    <mergeCell ref="AS283:AS285"/>
    <mergeCell ref="A286:A288"/>
    <mergeCell ref="B286:B288"/>
    <mergeCell ref="C286:C288"/>
    <mergeCell ref="H286:H288"/>
    <mergeCell ref="I286:I288"/>
    <mergeCell ref="J286:J288"/>
    <mergeCell ref="K286:K288"/>
    <mergeCell ref="L286:L288"/>
    <mergeCell ref="AM283:AM285"/>
    <mergeCell ref="AN283:AN285"/>
    <mergeCell ref="AO283:AO285"/>
    <mergeCell ref="AP283:AP285"/>
    <mergeCell ref="AQ283:AQ285"/>
    <mergeCell ref="AR283:AR285"/>
    <mergeCell ref="AG283:AG285"/>
    <mergeCell ref="AH283:AH285"/>
    <mergeCell ref="AI283:AI285"/>
    <mergeCell ref="AJ283:AJ285"/>
    <mergeCell ref="S289:S291"/>
    <mergeCell ref="T289:T291"/>
    <mergeCell ref="AD289:AD291"/>
    <mergeCell ref="AE289:AE291"/>
    <mergeCell ref="AF289:AF291"/>
    <mergeCell ref="L289:L291"/>
    <mergeCell ref="M289:M291"/>
    <mergeCell ref="N289:N291"/>
    <mergeCell ref="O289:O291"/>
    <mergeCell ref="P289:P291"/>
    <mergeCell ref="Q289:Q291"/>
    <mergeCell ref="AU288:BB288"/>
    <mergeCell ref="A289:A291"/>
    <mergeCell ref="B289:B291"/>
    <mergeCell ref="C289:C291"/>
    <mergeCell ref="E289:E294"/>
    <mergeCell ref="F289:F291"/>
    <mergeCell ref="H289:H291"/>
    <mergeCell ref="I289:I291"/>
    <mergeCell ref="J289:J291"/>
    <mergeCell ref="K289:K291"/>
    <mergeCell ref="AN286:AN288"/>
    <mergeCell ref="AO286:AO288"/>
    <mergeCell ref="AP286:AP288"/>
    <mergeCell ref="AQ286:AQ288"/>
    <mergeCell ref="AR286:AR288"/>
    <mergeCell ref="AS286:AS288"/>
    <mergeCell ref="AH286:AH288"/>
    <mergeCell ref="AI286:AI288"/>
    <mergeCell ref="AJ286:AJ288"/>
    <mergeCell ref="AK286:AK288"/>
    <mergeCell ref="AL286:AL288"/>
    <mergeCell ref="AD292:AD294"/>
    <mergeCell ref="AE292:AE294"/>
    <mergeCell ref="AF292:AF294"/>
    <mergeCell ref="AG292:AG294"/>
    <mergeCell ref="M292:M294"/>
    <mergeCell ref="N292:N294"/>
    <mergeCell ref="O292:O294"/>
    <mergeCell ref="P292:P294"/>
    <mergeCell ref="Q292:Q294"/>
    <mergeCell ref="R292:R294"/>
    <mergeCell ref="AS289:AS291"/>
    <mergeCell ref="B292:B294"/>
    <mergeCell ref="C292:C294"/>
    <mergeCell ref="F292:F294"/>
    <mergeCell ref="H292:H294"/>
    <mergeCell ref="I292:I294"/>
    <mergeCell ref="J292:J294"/>
    <mergeCell ref="K292:K294"/>
    <mergeCell ref="L292:L294"/>
    <mergeCell ref="AM289:AM291"/>
    <mergeCell ref="AN289:AN291"/>
    <mergeCell ref="AO289:AO291"/>
    <mergeCell ref="AP289:AP291"/>
    <mergeCell ref="AQ289:AQ291"/>
    <mergeCell ref="AR289:AR291"/>
    <mergeCell ref="AG289:AG291"/>
    <mergeCell ref="AH289:AH291"/>
    <mergeCell ref="AI289:AI291"/>
    <mergeCell ref="AJ289:AJ291"/>
    <mergeCell ref="AK289:AK291"/>
    <mergeCell ref="AL289:AL291"/>
    <mergeCell ref="R289:R291"/>
    <mergeCell ref="AE295:AE297"/>
    <mergeCell ref="AF295:AF297"/>
    <mergeCell ref="L295:L297"/>
    <mergeCell ref="M295:M297"/>
    <mergeCell ref="N295:N297"/>
    <mergeCell ref="O295:O297"/>
    <mergeCell ref="P295:P297"/>
    <mergeCell ref="Q295:Q297"/>
    <mergeCell ref="BC292:BC294"/>
    <mergeCell ref="A295:A297"/>
    <mergeCell ref="C295:C297"/>
    <mergeCell ref="E295:E300"/>
    <mergeCell ref="F295:F300"/>
    <mergeCell ref="G295:G300"/>
    <mergeCell ref="H295:H297"/>
    <mergeCell ref="I295:I297"/>
    <mergeCell ref="J295:J297"/>
    <mergeCell ref="K295:K297"/>
    <mergeCell ref="AN292:AN294"/>
    <mergeCell ref="AO292:AO294"/>
    <mergeCell ref="AP292:AP294"/>
    <mergeCell ref="AQ292:AQ294"/>
    <mergeCell ref="AR292:AR294"/>
    <mergeCell ref="AS292:AS294"/>
    <mergeCell ref="AH292:AH294"/>
    <mergeCell ref="AI292:AI294"/>
    <mergeCell ref="AJ292:AJ294"/>
    <mergeCell ref="AK292:AK294"/>
    <mergeCell ref="AL292:AL294"/>
    <mergeCell ref="AM292:AM294"/>
    <mergeCell ref="S292:S294"/>
    <mergeCell ref="T292:T294"/>
    <mergeCell ref="O298:O300"/>
    <mergeCell ref="P298:P300"/>
    <mergeCell ref="Q298:Q300"/>
    <mergeCell ref="R298:R300"/>
    <mergeCell ref="S298:S300"/>
    <mergeCell ref="T298:T300"/>
    <mergeCell ref="AS295:AS297"/>
    <mergeCell ref="A298:A300"/>
    <mergeCell ref="C298:C300"/>
    <mergeCell ref="H298:H300"/>
    <mergeCell ref="I298:I300"/>
    <mergeCell ref="J298:J300"/>
    <mergeCell ref="K298:K300"/>
    <mergeCell ref="L298:L300"/>
    <mergeCell ref="M298:M300"/>
    <mergeCell ref="N298:N300"/>
    <mergeCell ref="AM295:AM297"/>
    <mergeCell ref="AN295:AN297"/>
    <mergeCell ref="AO295:AO297"/>
    <mergeCell ref="AP295:AP297"/>
    <mergeCell ref="AQ295:AQ297"/>
    <mergeCell ref="AR295:AR297"/>
    <mergeCell ref="AG295:AG297"/>
    <mergeCell ref="AH295:AH297"/>
    <mergeCell ref="AI295:AI297"/>
    <mergeCell ref="AJ295:AJ297"/>
    <mergeCell ref="AK295:AK297"/>
    <mergeCell ref="AL295:AL297"/>
    <mergeCell ref="R295:R297"/>
    <mergeCell ref="S295:S297"/>
    <mergeCell ref="T295:T297"/>
    <mergeCell ref="AD295:AD297"/>
    <mergeCell ref="D311:D313"/>
    <mergeCell ref="E311:E313"/>
    <mergeCell ref="F311:F313"/>
    <mergeCell ref="G311:G313"/>
    <mergeCell ref="H311:H313"/>
    <mergeCell ref="I311:I313"/>
    <mergeCell ref="J311:J313"/>
    <mergeCell ref="K311:M312"/>
    <mergeCell ref="N311:N313"/>
    <mergeCell ref="Q304:U304"/>
    <mergeCell ref="Q305:U305"/>
    <mergeCell ref="Q306:U306"/>
    <mergeCell ref="Q307:U307"/>
    <mergeCell ref="D310:AS310"/>
    <mergeCell ref="AP298:AP300"/>
    <mergeCell ref="AQ298:AQ300"/>
    <mergeCell ref="AR298:AR300"/>
    <mergeCell ref="AS298:AS300"/>
    <mergeCell ref="Q302:U302"/>
    <mergeCell ref="Q303:U303"/>
    <mergeCell ref="AJ298:AJ300"/>
    <mergeCell ref="AK298:AK300"/>
    <mergeCell ref="AL298:AL300"/>
    <mergeCell ref="AM298:AM300"/>
    <mergeCell ref="AN298:AN300"/>
    <mergeCell ref="AO298:AO300"/>
    <mergeCell ref="AD298:AD300"/>
    <mergeCell ref="AE298:AE300"/>
    <mergeCell ref="AF298:AF300"/>
    <mergeCell ref="AG298:AG300"/>
    <mergeCell ref="AH298:AH300"/>
    <mergeCell ref="AI298:AI300"/>
    <mergeCell ref="U312:Y312"/>
    <mergeCell ref="Z312:AC312"/>
    <mergeCell ref="AD312:AD313"/>
    <mergeCell ref="AE312:AE313"/>
    <mergeCell ref="AF312:AF313"/>
    <mergeCell ref="AJ311:AM312"/>
    <mergeCell ref="AN311:AS312"/>
    <mergeCell ref="U311:Y311"/>
    <mergeCell ref="Z311:AC311"/>
    <mergeCell ref="AD311:AF311"/>
    <mergeCell ref="AG311:AG313"/>
    <mergeCell ref="AH311:AH313"/>
    <mergeCell ref="AI311:AI313"/>
    <mergeCell ref="O311:O313"/>
    <mergeCell ref="P311:P313"/>
    <mergeCell ref="Q311:Q313"/>
    <mergeCell ref="R311:R313"/>
    <mergeCell ref="S311:S313"/>
    <mergeCell ref="T311:T313"/>
    <mergeCell ref="M314:M316"/>
    <mergeCell ref="N314:N316"/>
    <mergeCell ref="O314:O316"/>
    <mergeCell ref="P314:P316"/>
    <mergeCell ref="Q314:Q316"/>
    <mergeCell ref="R314:R316"/>
    <mergeCell ref="G314:G322"/>
    <mergeCell ref="H314:H322"/>
    <mergeCell ref="I314:I316"/>
    <mergeCell ref="J314:J316"/>
    <mergeCell ref="K314:K316"/>
    <mergeCell ref="L314:L316"/>
    <mergeCell ref="A314:A316"/>
    <mergeCell ref="B314:B316"/>
    <mergeCell ref="C314:C316"/>
    <mergeCell ref="D314:D322"/>
    <mergeCell ref="E314:E322"/>
    <mergeCell ref="F314:F322"/>
    <mergeCell ref="A320:A322"/>
    <mergeCell ref="B320:B322"/>
    <mergeCell ref="C320:C322"/>
    <mergeCell ref="I320:I322"/>
    <mergeCell ref="J320:J322"/>
    <mergeCell ref="K320:K322"/>
    <mergeCell ref="L320:L322"/>
    <mergeCell ref="M320:M322"/>
    <mergeCell ref="N317:N319"/>
    <mergeCell ref="O317:O319"/>
    <mergeCell ref="P317:P319"/>
    <mergeCell ref="Q317:Q319"/>
    <mergeCell ref="R317:R319"/>
    <mergeCell ref="A317:A319"/>
    <mergeCell ref="AN314:AN316"/>
    <mergeCell ref="AO314:AO316"/>
    <mergeCell ref="AP314:AP316"/>
    <mergeCell ref="AQ314:AQ316"/>
    <mergeCell ref="AR314:AR316"/>
    <mergeCell ref="AS314:AS316"/>
    <mergeCell ref="AH314:AH322"/>
    <mergeCell ref="AI314:AI322"/>
    <mergeCell ref="AJ314:AJ316"/>
    <mergeCell ref="AK314:AK316"/>
    <mergeCell ref="AL314:AL316"/>
    <mergeCell ref="AM314:AM316"/>
    <mergeCell ref="AJ317:AJ319"/>
    <mergeCell ref="AK317:AK319"/>
    <mergeCell ref="AL317:AL319"/>
    <mergeCell ref="AM317:AM319"/>
    <mergeCell ref="S314:S316"/>
    <mergeCell ref="T314:T316"/>
    <mergeCell ref="AD314:AD322"/>
    <mergeCell ref="AE314:AE322"/>
    <mergeCell ref="AF314:AF322"/>
    <mergeCell ref="AG314:AG322"/>
    <mergeCell ref="T317:T319"/>
    <mergeCell ref="T320:T322"/>
    <mergeCell ref="AN317:AN319"/>
    <mergeCell ref="AO317:AO319"/>
    <mergeCell ref="AP317:AP319"/>
    <mergeCell ref="AQ317:AQ319"/>
    <mergeCell ref="AR317:AR319"/>
    <mergeCell ref="AS317:AS319"/>
    <mergeCell ref="S317:S319"/>
    <mergeCell ref="B317:B319"/>
    <mergeCell ref="C317:C319"/>
    <mergeCell ref="I317:I319"/>
    <mergeCell ref="J317:J319"/>
    <mergeCell ref="K317:K319"/>
    <mergeCell ref="L317:L319"/>
    <mergeCell ref="M317:M319"/>
    <mergeCell ref="AP320:AP322"/>
    <mergeCell ref="AQ320:AQ322"/>
    <mergeCell ref="AR320:AR322"/>
    <mergeCell ref="AS320:AS322"/>
    <mergeCell ref="AJ320:AJ322"/>
    <mergeCell ref="AK320:AK322"/>
    <mergeCell ref="AL320:AL322"/>
    <mergeCell ref="AM320:AM322"/>
    <mergeCell ref="AN320:AN322"/>
    <mergeCell ref="AO320:AO322"/>
    <mergeCell ref="N320:N322"/>
    <mergeCell ref="O320:O322"/>
    <mergeCell ref="P320:P322"/>
    <mergeCell ref="Q320:Q322"/>
    <mergeCell ref="R320:R322"/>
    <mergeCell ref="S320:S322"/>
    <mergeCell ref="P333:P335"/>
    <mergeCell ref="Q333:Q335"/>
    <mergeCell ref="V330:W330"/>
    <mergeCell ref="D332:AS332"/>
    <mergeCell ref="D333:D335"/>
    <mergeCell ref="E333:E335"/>
    <mergeCell ref="F333:F335"/>
    <mergeCell ref="G333:G335"/>
    <mergeCell ref="H333:H335"/>
    <mergeCell ref="I333:I335"/>
    <mergeCell ref="Q324:U324"/>
    <mergeCell ref="Q325:U325"/>
    <mergeCell ref="Q326:U326"/>
    <mergeCell ref="Q327:U327"/>
    <mergeCell ref="Q328:U328"/>
    <mergeCell ref="Q329:U329"/>
    <mergeCell ref="U334:Y334"/>
    <mergeCell ref="Z334:AC334"/>
    <mergeCell ref="AD334:AD335"/>
    <mergeCell ref="AE334:AE335"/>
    <mergeCell ref="AF334:AF335"/>
    <mergeCell ref="AG333:AG335"/>
    <mergeCell ref="AH333:AH335"/>
    <mergeCell ref="AI333:AI335"/>
    <mergeCell ref="AJ333:AM334"/>
    <mergeCell ref="AN333:AS334"/>
    <mergeCell ref="R333:R335"/>
    <mergeCell ref="S333:S335"/>
    <mergeCell ref="T333:T335"/>
    <mergeCell ref="U333:Y333"/>
    <mergeCell ref="Z333:AC333"/>
    <mergeCell ref="AD333:AF333"/>
    <mergeCell ref="N336:N338"/>
    <mergeCell ref="O336:O338"/>
    <mergeCell ref="P336:P338"/>
    <mergeCell ref="Q336:Q338"/>
    <mergeCell ref="R336:R338"/>
    <mergeCell ref="G336:G341"/>
    <mergeCell ref="H336:H341"/>
    <mergeCell ref="I336:I338"/>
    <mergeCell ref="J336:J338"/>
    <mergeCell ref="K336:K338"/>
    <mergeCell ref="L336:L338"/>
    <mergeCell ref="AK336:AK338"/>
    <mergeCell ref="AL336:AL338"/>
    <mergeCell ref="AM336:AM338"/>
    <mergeCell ref="S336:S338"/>
    <mergeCell ref="T336:T338"/>
    <mergeCell ref="AD336:AD338"/>
    <mergeCell ref="AE336:AE338"/>
    <mergeCell ref="AF336:AF338"/>
    <mergeCell ref="AG336:AG338"/>
    <mergeCell ref="M336:M338"/>
    <mergeCell ref="J333:J335"/>
    <mergeCell ref="K333:M334"/>
    <mergeCell ref="N333:N335"/>
    <mergeCell ref="O333:O335"/>
    <mergeCell ref="A336:A338"/>
    <mergeCell ref="B336:B338"/>
    <mergeCell ref="C336:C338"/>
    <mergeCell ref="D336:D356"/>
    <mergeCell ref="E336:E341"/>
    <mergeCell ref="F336:F341"/>
    <mergeCell ref="A342:A344"/>
    <mergeCell ref="B342:B344"/>
    <mergeCell ref="C342:C344"/>
    <mergeCell ref="E342:E347"/>
    <mergeCell ref="Q339:Q341"/>
    <mergeCell ref="R339:R341"/>
    <mergeCell ref="S339:S341"/>
    <mergeCell ref="BC336:BC341"/>
    <mergeCell ref="BD336:BD356"/>
    <mergeCell ref="A339:A341"/>
    <mergeCell ref="B339:B341"/>
    <mergeCell ref="C339:C341"/>
    <mergeCell ref="I339:I341"/>
    <mergeCell ref="J339:J341"/>
    <mergeCell ref="K339:K341"/>
    <mergeCell ref="L339:L341"/>
    <mergeCell ref="M339:M341"/>
    <mergeCell ref="AN336:AN338"/>
    <mergeCell ref="AO336:AO338"/>
    <mergeCell ref="AP336:AP338"/>
    <mergeCell ref="AQ336:AQ338"/>
    <mergeCell ref="AR336:AR338"/>
    <mergeCell ref="AS336:AS338"/>
    <mergeCell ref="AH336:AH338"/>
    <mergeCell ref="AI336:AI338"/>
    <mergeCell ref="AJ336:AJ338"/>
    <mergeCell ref="L342:L344"/>
    <mergeCell ref="M342:M344"/>
    <mergeCell ref="N342:N344"/>
    <mergeCell ref="O342:O344"/>
    <mergeCell ref="P342:P344"/>
    <mergeCell ref="Q342:Q344"/>
    <mergeCell ref="F342:F347"/>
    <mergeCell ref="G342:G344"/>
    <mergeCell ref="H342:H344"/>
    <mergeCell ref="I342:I344"/>
    <mergeCell ref="J342:J344"/>
    <mergeCell ref="K342:K344"/>
    <mergeCell ref="AO339:AO341"/>
    <mergeCell ref="AP339:AP341"/>
    <mergeCell ref="AQ339:AQ341"/>
    <mergeCell ref="AR339:AR341"/>
    <mergeCell ref="AS339:AS341"/>
    <mergeCell ref="AI339:AI341"/>
    <mergeCell ref="AJ339:AJ341"/>
    <mergeCell ref="AK339:AK341"/>
    <mergeCell ref="AL339:AL341"/>
    <mergeCell ref="AM339:AM341"/>
    <mergeCell ref="AN339:AN341"/>
    <mergeCell ref="T339:T341"/>
    <mergeCell ref="AD339:AD341"/>
    <mergeCell ref="AE339:AE341"/>
    <mergeCell ref="AF339:AF341"/>
    <mergeCell ref="AG339:AG341"/>
    <mergeCell ref="AH339:AH341"/>
    <mergeCell ref="N339:N341"/>
    <mergeCell ref="O339:O341"/>
    <mergeCell ref="P339:P341"/>
    <mergeCell ref="AS342:AS344"/>
    <mergeCell ref="A345:A347"/>
    <mergeCell ref="B345:B347"/>
    <mergeCell ref="C345:C347"/>
    <mergeCell ref="G345:G347"/>
    <mergeCell ref="H345:H347"/>
    <mergeCell ref="I345:I347"/>
    <mergeCell ref="J345:J347"/>
    <mergeCell ref="K345:K347"/>
    <mergeCell ref="AM342:AM344"/>
    <mergeCell ref="AN342:AN344"/>
    <mergeCell ref="AO342:AO344"/>
    <mergeCell ref="AP342:AP344"/>
    <mergeCell ref="AQ342:AQ344"/>
    <mergeCell ref="AR342:AR344"/>
    <mergeCell ref="AG342:AG347"/>
    <mergeCell ref="AH342:AH344"/>
    <mergeCell ref="AI342:AI344"/>
    <mergeCell ref="AJ342:AJ344"/>
    <mergeCell ref="AK342:AK344"/>
    <mergeCell ref="AL342:AL344"/>
    <mergeCell ref="AH345:AH347"/>
    <mergeCell ref="AI345:AI347"/>
    <mergeCell ref="AJ345:AJ347"/>
    <mergeCell ref="AK345:AK347"/>
    <mergeCell ref="R342:R344"/>
    <mergeCell ref="S342:S344"/>
    <mergeCell ref="T342:T344"/>
    <mergeCell ref="AD342:AD347"/>
    <mergeCell ref="AE342:AE347"/>
    <mergeCell ref="AF342:AF347"/>
    <mergeCell ref="R345:R347"/>
    <mergeCell ref="P348:P350"/>
    <mergeCell ref="AR345:AR347"/>
    <mergeCell ref="AS345:AS347"/>
    <mergeCell ref="A348:A350"/>
    <mergeCell ref="B348:B350"/>
    <mergeCell ref="C348:C350"/>
    <mergeCell ref="E348:E356"/>
    <mergeCell ref="F348:F356"/>
    <mergeCell ref="G348:G353"/>
    <mergeCell ref="H348:H353"/>
    <mergeCell ref="AL345:AL347"/>
    <mergeCell ref="AM345:AM347"/>
    <mergeCell ref="AN345:AN347"/>
    <mergeCell ref="AO345:AO347"/>
    <mergeCell ref="AP345:AP347"/>
    <mergeCell ref="AQ345:AQ347"/>
    <mergeCell ref="L345:L347"/>
    <mergeCell ref="M345:M347"/>
    <mergeCell ref="N345:N347"/>
    <mergeCell ref="O345:O347"/>
    <mergeCell ref="P345:P347"/>
    <mergeCell ref="Q345:Q347"/>
    <mergeCell ref="S345:S347"/>
    <mergeCell ref="T345:T347"/>
    <mergeCell ref="AR348:AR350"/>
    <mergeCell ref="AS348:AS350"/>
    <mergeCell ref="AR351:AR353"/>
    <mergeCell ref="AS351:AS353"/>
    <mergeCell ref="AJ351:AJ353"/>
    <mergeCell ref="AK351:AK353"/>
    <mergeCell ref="AL351:AL353"/>
    <mergeCell ref="BF348:BF350"/>
    <mergeCell ref="B351:B353"/>
    <mergeCell ref="C351:C353"/>
    <mergeCell ref="I351:I353"/>
    <mergeCell ref="J351:J353"/>
    <mergeCell ref="K351:K353"/>
    <mergeCell ref="L351:L353"/>
    <mergeCell ref="AL348:AL350"/>
    <mergeCell ref="AM348:AM350"/>
    <mergeCell ref="AN348:AN350"/>
    <mergeCell ref="AO348:AO350"/>
    <mergeCell ref="AP348:AP350"/>
    <mergeCell ref="AQ348:AQ350"/>
    <mergeCell ref="AF348:AF350"/>
    <mergeCell ref="AG348:AG350"/>
    <mergeCell ref="AH348:AH350"/>
    <mergeCell ref="AI348:AI350"/>
    <mergeCell ref="AJ348:AJ350"/>
    <mergeCell ref="AK348:AK350"/>
    <mergeCell ref="Q348:Q350"/>
    <mergeCell ref="R348:R350"/>
    <mergeCell ref="S348:S350"/>
    <mergeCell ref="T348:T350"/>
    <mergeCell ref="AD348:AD350"/>
    <mergeCell ref="AE348:AE350"/>
    <mergeCell ref="I348:I350"/>
    <mergeCell ref="J348:J350"/>
    <mergeCell ref="K348:K350"/>
    <mergeCell ref="L348:L350"/>
    <mergeCell ref="AP351:AP353"/>
    <mergeCell ref="AQ351:AQ353"/>
    <mergeCell ref="M348:M350"/>
    <mergeCell ref="A354:A356"/>
    <mergeCell ref="B354:B356"/>
    <mergeCell ref="C354:C356"/>
    <mergeCell ref="G354:G356"/>
    <mergeCell ref="H354:H356"/>
    <mergeCell ref="I354:I356"/>
    <mergeCell ref="AQ354:AQ356"/>
    <mergeCell ref="AR354:AR356"/>
    <mergeCell ref="AS354:AS356"/>
    <mergeCell ref="BF354:BF356"/>
    <mergeCell ref="AU356:BB356"/>
    <mergeCell ref="AM351:AM353"/>
    <mergeCell ref="AN351:AN353"/>
    <mergeCell ref="AO351:AO353"/>
    <mergeCell ref="AD351:AD353"/>
    <mergeCell ref="AE351:AE353"/>
    <mergeCell ref="AF351:AF353"/>
    <mergeCell ref="AG351:AG353"/>
    <mergeCell ref="AH351:AH353"/>
    <mergeCell ref="AI351:AI353"/>
    <mergeCell ref="M351:M353"/>
    <mergeCell ref="P351:P353"/>
    <mergeCell ref="Q351:Q353"/>
    <mergeCell ref="R351:R353"/>
    <mergeCell ref="S351:S353"/>
    <mergeCell ref="T351:T353"/>
    <mergeCell ref="P354:P356"/>
    <mergeCell ref="Q354:Q356"/>
    <mergeCell ref="R354:R356"/>
    <mergeCell ref="S354:S356"/>
    <mergeCell ref="T354:T356"/>
    <mergeCell ref="AD354:AD356"/>
    <mergeCell ref="Q358:U358"/>
    <mergeCell ref="AK354:AK356"/>
    <mergeCell ref="AL354:AL356"/>
    <mergeCell ref="AM354:AM356"/>
    <mergeCell ref="AN354:AN356"/>
    <mergeCell ref="AO354:AO356"/>
    <mergeCell ref="AP354:AP356"/>
    <mergeCell ref="AE354:AE356"/>
    <mergeCell ref="AF354:AF356"/>
    <mergeCell ref="AG354:AG356"/>
    <mergeCell ref="AH354:AH356"/>
    <mergeCell ref="AI354:AI356"/>
    <mergeCell ref="AJ354:AJ356"/>
    <mergeCell ref="J369:J371"/>
    <mergeCell ref="K369:M370"/>
    <mergeCell ref="N369:N371"/>
    <mergeCell ref="O369:O371"/>
    <mergeCell ref="P369:P371"/>
    <mergeCell ref="Q369:Q371"/>
    <mergeCell ref="S369:S371"/>
    <mergeCell ref="T369:T371"/>
    <mergeCell ref="U369:Y369"/>
    <mergeCell ref="Z369:AC369"/>
    <mergeCell ref="AD369:AF369"/>
    <mergeCell ref="J354:J356"/>
    <mergeCell ref="K354:K356"/>
    <mergeCell ref="L354:L356"/>
    <mergeCell ref="M354:M356"/>
    <mergeCell ref="N354:N356"/>
    <mergeCell ref="O354:O356"/>
    <mergeCell ref="AT365:BD365"/>
    <mergeCell ref="D368:AS368"/>
    <mergeCell ref="AT368:BB368"/>
    <mergeCell ref="BC368:BD368"/>
    <mergeCell ref="D369:D371"/>
    <mergeCell ref="E369:E371"/>
    <mergeCell ref="F369:F371"/>
    <mergeCell ref="G369:G371"/>
    <mergeCell ref="H369:H371"/>
    <mergeCell ref="I369:I371"/>
    <mergeCell ref="Q359:U359"/>
    <mergeCell ref="Q360:U360"/>
    <mergeCell ref="Q361:U361"/>
    <mergeCell ref="Q362:U362"/>
    <mergeCell ref="Q363:U363"/>
    <mergeCell ref="D365:AS365"/>
    <mergeCell ref="AU369:AX370"/>
    <mergeCell ref="AY369:BB370"/>
    <mergeCell ref="BC369:BC371"/>
    <mergeCell ref="BD369:BD371"/>
    <mergeCell ref="U370:Y370"/>
    <mergeCell ref="Z370:AC370"/>
    <mergeCell ref="AD370:AD371"/>
    <mergeCell ref="AE370:AE371"/>
    <mergeCell ref="AF370:AF371"/>
    <mergeCell ref="AT369:AT371"/>
    <mergeCell ref="AG369:AG371"/>
    <mergeCell ref="AH369:AH371"/>
    <mergeCell ref="AI369:AI371"/>
    <mergeCell ref="AJ369:AM370"/>
    <mergeCell ref="AN369:AS370"/>
    <mergeCell ref="R369:R371"/>
    <mergeCell ref="M372:M374"/>
    <mergeCell ref="N372:N374"/>
    <mergeCell ref="O372:O374"/>
    <mergeCell ref="P372:P374"/>
    <mergeCell ref="Q372:Q374"/>
    <mergeCell ref="R372:R374"/>
    <mergeCell ref="G372:G389"/>
    <mergeCell ref="H372:H389"/>
    <mergeCell ref="I372:I374"/>
    <mergeCell ref="J372:J374"/>
    <mergeCell ref="K372:K374"/>
    <mergeCell ref="L372:L374"/>
    <mergeCell ref="I375:I377"/>
    <mergeCell ref="J375:J377"/>
    <mergeCell ref="K375:K377"/>
    <mergeCell ref="L375:L377"/>
    <mergeCell ref="A372:A374"/>
    <mergeCell ref="B372:B374"/>
    <mergeCell ref="C372:C374"/>
    <mergeCell ref="D372:D395"/>
    <mergeCell ref="E372:E395"/>
    <mergeCell ref="F372:F395"/>
    <mergeCell ref="B375:B377"/>
    <mergeCell ref="C375:C377"/>
    <mergeCell ref="A378:A380"/>
    <mergeCell ref="B378:B380"/>
    <mergeCell ref="A384:A386"/>
    <mergeCell ref="B384:B386"/>
    <mergeCell ref="C384:C386"/>
    <mergeCell ref="I384:I386"/>
    <mergeCell ref="J384:J386"/>
    <mergeCell ref="K384:K386"/>
    <mergeCell ref="AO372:AO374"/>
    <mergeCell ref="AQ372:AQ374"/>
    <mergeCell ref="AR372:AR374"/>
    <mergeCell ref="AS372:AS374"/>
    <mergeCell ref="AH372:AH374"/>
    <mergeCell ref="AI372:AI374"/>
    <mergeCell ref="AJ372:AJ374"/>
    <mergeCell ref="AK372:AK374"/>
    <mergeCell ref="AL372:AL374"/>
    <mergeCell ref="AM372:AM374"/>
    <mergeCell ref="S372:S374"/>
    <mergeCell ref="T372:T374"/>
    <mergeCell ref="AD372:AD389"/>
    <mergeCell ref="AE372:AE374"/>
    <mergeCell ref="AF372:AF374"/>
    <mergeCell ref="AG372:AG374"/>
    <mergeCell ref="S375:S377"/>
    <mergeCell ref="T375:T377"/>
    <mergeCell ref="AE375:AE377"/>
    <mergeCell ref="AF375:AF377"/>
    <mergeCell ref="C378:C380"/>
    <mergeCell ref="I378:I380"/>
    <mergeCell ref="J378:J380"/>
    <mergeCell ref="K378:K380"/>
    <mergeCell ref="L378:L380"/>
    <mergeCell ref="M378:M380"/>
    <mergeCell ref="AG375:AG377"/>
    <mergeCell ref="AH375:AH377"/>
    <mergeCell ref="AI375:AI377"/>
    <mergeCell ref="AJ375:AJ377"/>
    <mergeCell ref="AO375:AO377"/>
    <mergeCell ref="AR375:AR377"/>
    <mergeCell ref="M375:M377"/>
    <mergeCell ref="N375:N377"/>
    <mergeCell ref="O375:O377"/>
    <mergeCell ref="P375:P377"/>
    <mergeCell ref="Q375:Q377"/>
    <mergeCell ref="R375:R377"/>
    <mergeCell ref="AQ381:AQ383"/>
    <mergeCell ref="AR381:AR383"/>
    <mergeCell ref="R381:R383"/>
    <mergeCell ref="S381:S383"/>
    <mergeCell ref="T381:T383"/>
    <mergeCell ref="AE381:AE383"/>
    <mergeCell ref="AF381:AF383"/>
    <mergeCell ref="AG381:AG383"/>
    <mergeCell ref="L381:L383"/>
    <mergeCell ref="M381:M383"/>
    <mergeCell ref="N381:N383"/>
    <mergeCell ref="O381:O383"/>
    <mergeCell ref="P381:P383"/>
    <mergeCell ref="Q381:Q383"/>
    <mergeCell ref="AJ378:AJ380"/>
    <mergeCell ref="AO378:AO380"/>
    <mergeCell ref="AQ378:AQ380"/>
    <mergeCell ref="AR378:AR380"/>
    <mergeCell ref="T378:T380"/>
    <mergeCell ref="AE378:AE380"/>
    <mergeCell ref="AF378:AF380"/>
    <mergeCell ref="AG378:AG380"/>
    <mergeCell ref="AH378:AH380"/>
    <mergeCell ref="AI378:AI380"/>
    <mergeCell ref="N378:N380"/>
    <mergeCell ref="O378:O380"/>
    <mergeCell ref="P378:P380"/>
    <mergeCell ref="Q378:Q380"/>
    <mergeCell ref="R378:R380"/>
    <mergeCell ref="S378:S380"/>
    <mergeCell ref="A381:A383"/>
    <mergeCell ref="B381:B383"/>
    <mergeCell ref="C381:C383"/>
    <mergeCell ref="I381:I383"/>
    <mergeCell ref="J381:J383"/>
    <mergeCell ref="K381:K383"/>
    <mergeCell ref="O387:O389"/>
    <mergeCell ref="P387:P389"/>
    <mergeCell ref="Q387:Q389"/>
    <mergeCell ref="A387:A389"/>
    <mergeCell ref="B387:B389"/>
    <mergeCell ref="C387:C389"/>
    <mergeCell ref="I387:I389"/>
    <mergeCell ref="J387:J389"/>
    <mergeCell ref="K387:K389"/>
    <mergeCell ref="AO384:AO386"/>
    <mergeCell ref="AP384:AP386"/>
    <mergeCell ref="AH381:AH383"/>
    <mergeCell ref="AI381:AI383"/>
    <mergeCell ref="AJ381:AJ383"/>
    <mergeCell ref="AO381:AO383"/>
    <mergeCell ref="AQ384:AQ386"/>
    <mergeCell ref="AR384:AR386"/>
    <mergeCell ref="AS384:AS386"/>
    <mergeCell ref="AH384:AH386"/>
    <mergeCell ref="AI384:AI386"/>
    <mergeCell ref="AJ384:AJ386"/>
    <mergeCell ref="AK384:AK386"/>
    <mergeCell ref="AL384:AL386"/>
    <mergeCell ref="AM384:AM386"/>
    <mergeCell ref="R384:R386"/>
    <mergeCell ref="S384:S386"/>
    <mergeCell ref="T384:T386"/>
    <mergeCell ref="AE384:AE386"/>
    <mergeCell ref="AF384:AF386"/>
    <mergeCell ref="AG384:AG386"/>
    <mergeCell ref="L384:L386"/>
    <mergeCell ref="M384:M386"/>
    <mergeCell ref="N384:N386"/>
    <mergeCell ref="O384:O386"/>
    <mergeCell ref="P384:P386"/>
    <mergeCell ref="Q384:Q386"/>
    <mergeCell ref="J390:J392"/>
    <mergeCell ref="K390:K392"/>
    <mergeCell ref="L390:L392"/>
    <mergeCell ref="M390:M392"/>
    <mergeCell ref="N390:N392"/>
    <mergeCell ref="O390:O392"/>
    <mergeCell ref="A390:A392"/>
    <mergeCell ref="B390:B392"/>
    <mergeCell ref="C390:C392"/>
    <mergeCell ref="G390:G392"/>
    <mergeCell ref="H390:H392"/>
    <mergeCell ref="I390:I392"/>
    <mergeCell ref="AO387:AO389"/>
    <mergeCell ref="AQ387:AQ389"/>
    <mergeCell ref="AR387:AR389"/>
    <mergeCell ref="AS387:AS389"/>
    <mergeCell ref="AH387:AH389"/>
    <mergeCell ref="AI387:AI389"/>
    <mergeCell ref="AJ387:AJ389"/>
    <mergeCell ref="AK387:AK389"/>
    <mergeCell ref="AL387:AL389"/>
    <mergeCell ref="AM387:AM389"/>
    <mergeCell ref="R387:R389"/>
    <mergeCell ref="S387:S389"/>
    <mergeCell ref="T387:T389"/>
    <mergeCell ref="AE387:AE389"/>
    <mergeCell ref="AF387:AF389"/>
    <mergeCell ref="AG387:AG389"/>
    <mergeCell ref="L387:L389"/>
    <mergeCell ref="M387:M389"/>
    <mergeCell ref="N387:N389"/>
    <mergeCell ref="M393:M395"/>
    <mergeCell ref="N393:N395"/>
    <mergeCell ref="O393:O395"/>
    <mergeCell ref="P393:P395"/>
    <mergeCell ref="Q393:Q395"/>
    <mergeCell ref="AS390:AS392"/>
    <mergeCell ref="A393:A395"/>
    <mergeCell ref="B393:B395"/>
    <mergeCell ref="C393:C395"/>
    <mergeCell ref="G393:G395"/>
    <mergeCell ref="H393:H395"/>
    <mergeCell ref="I393:I395"/>
    <mergeCell ref="J393:J395"/>
    <mergeCell ref="K393:K395"/>
    <mergeCell ref="AK390:AK392"/>
    <mergeCell ref="AL390:AL392"/>
    <mergeCell ref="AM390:AM392"/>
    <mergeCell ref="AO390:AO392"/>
    <mergeCell ref="AQ390:AQ392"/>
    <mergeCell ref="AR390:AR392"/>
    <mergeCell ref="AE390:AE392"/>
    <mergeCell ref="AF390:AF392"/>
    <mergeCell ref="AG390:AG392"/>
    <mergeCell ref="AH390:AH392"/>
    <mergeCell ref="AI390:AI392"/>
    <mergeCell ref="AJ390:AJ392"/>
    <mergeCell ref="P390:P392"/>
    <mergeCell ref="Q390:Q392"/>
    <mergeCell ref="R390:R392"/>
    <mergeCell ref="S390:S392"/>
    <mergeCell ref="T390:T392"/>
    <mergeCell ref="AD390:AD392"/>
    <mergeCell ref="V403:W403"/>
    <mergeCell ref="D405:AS405"/>
    <mergeCell ref="D406:D408"/>
    <mergeCell ref="E406:E408"/>
    <mergeCell ref="F406:F408"/>
    <mergeCell ref="G406:G408"/>
    <mergeCell ref="H406:H408"/>
    <mergeCell ref="I406:I408"/>
    <mergeCell ref="Q397:U397"/>
    <mergeCell ref="Q398:U398"/>
    <mergeCell ref="Q399:U399"/>
    <mergeCell ref="Q400:U400"/>
    <mergeCell ref="Q401:U401"/>
    <mergeCell ref="Q402:U402"/>
    <mergeCell ref="AM393:AM395"/>
    <mergeCell ref="AN393:AN395"/>
    <mergeCell ref="AQ393:AQ395"/>
    <mergeCell ref="AR393:AR395"/>
    <mergeCell ref="AS393:AS395"/>
    <mergeCell ref="AG393:AG395"/>
    <mergeCell ref="AH393:AH395"/>
    <mergeCell ref="AI393:AI395"/>
    <mergeCell ref="AJ393:AJ395"/>
    <mergeCell ref="AK393:AK395"/>
    <mergeCell ref="AL393:AL395"/>
    <mergeCell ref="R393:R395"/>
    <mergeCell ref="S393:S395"/>
    <mergeCell ref="T393:T395"/>
    <mergeCell ref="AD393:AD395"/>
    <mergeCell ref="AE393:AE395"/>
    <mergeCell ref="AF393:AF395"/>
    <mergeCell ref="L393:L395"/>
    <mergeCell ref="U407:Y407"/>
    <mergeCell ref="Z407:AC407"/>
    <mergeCell ref="AD407:AD408"/>
    <mergeCell ref="AE407:AE408"/>
    <mergeCell ref="AF407:AF408"/>
    <mergeCell ref="AG406:AG408"/>
    <mergeCell ref="AH406:AH408"/>
    <mergeCell ref="AI406:AI408"/>
    <mergeCell ref="AJ406:AM407"/>
    <mergeCell ref="AN406:AS407"/>
    <mergeCell ref="R406:R408"/>
    <mergeCell ref="S406:S408"/>
    <mergeCell ref="T406:T408"/>
    <mergeCell ref="U406:Y406"/>
    <mergeCell ref="Z406:AC406"/>
    <mergeCell ref="AD406:AF406"/>
    <mergeCell ref="J406:J408"/>
    <mergeCell ref="K406:M407"/>
    <mergeCell ref="N406:N408"/>
    <mergeCell ref="O406:O408"/>
    <mergeCell ref="P406:P408"/>
    <mergeCell ref="Q406:Q408"/>
    <mergeCell ref="S412:S414"/>
    <mergeCell ref="AG415:AG417"/>
    <mergeCell ref="M415:M417"/>
    <mergeCell ref="N415:N417"/>
    <mergeCell ref="O415:O417"/>
    <mergeCell ref="P415:P417"/>
    <mergeCell ref="Q415:Q417"/>
    <mergeCell ref="R415:R417"/>
    <mergeCell ref="A409:A411"/>
    <mergeCell ref="B409:B411"/>
    <mergeCell ref="C409:C411"/>
    <mergeCell ref="D409:D438"/>
    <mergeCell ref="E409:E429"/>
    <mergeCell ref="F409:F429"/>
    <mergeCell ref="B415:B417"/>
    <mergeCell ref="C415:C417"/>
    <mergeCell ref="A436:A438"/>
    <mergeCell ref="B436:B438"/>
    <mergeCell ref="M409:M411"/>
    <mergeCell ref="N409:N411"/>
    <mergeCell ref="O409:O411"/>
    <mergeCell ref="P409:P411"/>
    <mergeCell ref="Q409:Q411"/>
    <mergeCell ref="R409:R411"/>
    <mergeCell ref="G409:G420"/>
    <mergeCell ref="H409:H420"/>
    <mergeCell ref="I409:I411"/>
    <mergeCell ref="J409:J411"/>
    <mergeCell ref="K409:K411"/>
    <mergeCell ref="L409:L411"/>
    <mergeCell ref="I415:I417"/>
    <mergeCell ref="J415:J417"/>
    <mergeCell ref="K415:K417"/>
    <mergeCell ref="L415:L417"/>
    <mergeCell ref="N412:N414"/>
    <mergeCell ref="O412:O414"/>
    <mergeCell ref="P412:P414"/>
    <mergeCell ref="Q412:Q414"/>
    <mergeCell ref="R412:R414"/>
    <mergeCell ref="A412:A414"/>
    <mergeCell ref="B412:B414"/>
    <mergeCell ref="C412:C414"/>
    <mergeCell ref="I412:I414"/>
    <mergeCell ref="J412:J414"/>
    <mergeCell ref="K412:K414"/>
    <mergeCell ref="L412:L414"/>
    <mergeCell ref="M412:M414"/>
    <mergeCell ref="AN409:AN411"/>
    <mergeCell ref="AO409:AO411"/>
    <mergeCell ref="AP409:AP411"/>
    <mergeCell ref="AQ409:AQ411"/>
    <mergeCell ref="AR409:AR411"/>
    <mergeCell ref="AS409:AS411"/>
    <mergeCell ref="AH409:AH411"/>
    <mergeCell ref="AI409:AI411"/>
    <mergeCell ref="AJ409:AJ411"/>
    <mergeCell ref="AK409:AK411"/>
    <mergeCell ref="AL409:AL411"/>
    <mergeCell ref="AM409:AM411"/>
    <mergeCell ref="S409:S411"/>
    <mergeCell ref="T409:T411"/>
    <mergeCell ref="AD409:AD411"/>
    <mergeCell ref="AE409:AE411"/>
    <mergeCell ref="AO412:AO414"/>
    <mergeCell ref="AP412:AP414"/>
    <mergeCell ref="AQ412:AQ414"/>
    <mergeCell ref="AR412:AR414"/>
    <mergeCell ref="AS412:AS414"/>
    <mergeCell ref="AI412:AI414"/>
    <mergeCell ref="AF409:AF411"/>
    <mergeCell ref="AG409:AG411"/>
    <mergeCell ref="AJ412:AJ414"/>
    <mergeCell ref="AK412:AK414"/>
    <mergeCell ref="AL412:AL414"/>
    <mergeCell ref="AM412:AM414"/>
    <mergeCell ref="AN412:AN414"/>
    <mergeCell ref="T412:T414"/>
    <mergeCell ref="AD412:AD414"/>
    <mergeCell ref="AE412:AE414"/>
    <mergeCell ref="AF412:AF414"/>
    <mergeCell ref="AG412:AG414"/>
    <mergeCell ref="AH412:AH414"/>
    <mergeCell ref="O418:O420"/>
    <mergeCell ref="P418:P420"/>
    <mergeCell ref="AN415:AN417"/>
    <mergeCell ref="AP415:AP417"/>
    <mergeCell ref="AQ415:AQ417"/>
    <mergeCell ref="A418:A420"/>
    <mergeCell ref="B418:B420"/>
    <mergeCell ref="C418:C420"/>
    <mergeCell ref="I418:I420"/>
    <mergeCell ref="J418:J420"/>
    <mergeCell ref="AH415:AH417"/>
    <mergeCell ref="AI415:AI417"/>
    <mergeCell ref="AJ415:AJ417"/>
    <mergeCell ref="AK415:AK417"/>
    <mergeCell ref="AL415:AL417"/>
    <mergeCell ref="AM415:AM417"/>
    <mergeCell ref="S415:S417"/>
    <mergeCell ref="T415:T417"/>
    <mergeCell ref="AD415:AD417"/>
    <mergeCell ref="AE415:AE417"/>
    <mergeCell ref="AF415:AF417"/>
    <mergeCell ref="O421:O423"/>
    <mergeCell ref="P421:P423"/>
    <mergeCell ref="AS418:AS420"/>
    <mergeCell ref="A421:A423"/>
    <mergeCell ref="B421:B423"/>
    <mergeCell ref="C421:C423"/>
    <mergeCell ref="G421:G423"/>
    <mergeCell ref="H421:H423"/>
    <mergeCell ref="I421:I423"/>
    <mergeCell ref="J421:J423"/>
    <mergeCell ref="AL418:AL420"/>
    <mergeCell ref="AM418:AM420"/>
    <mergeCell ref="AN418:AN420"/>
    <mergeCell ref="AO418:AO420"/>
    <mergeCell ref="AQ418:AQ420"/>
    <mergeCell ref="AR418:AR420"/>
    <mergeCell ref="AF418:AF420"/>
    <mergeCell ref="AG418:AG420"/>
    <mergeCell ref="AH418:AH420"/>
    <mergeCell ref="AI418:AI420"/>
    <mergeCell ref="AJ418:AJ420"/>
    <mergeCell ref="AK418:AK420"/>
    <mergeCell ref="Q418:Q420"/>
    <mergeCell ref="R418:R420"/>
    <mergeCell ref="S418:S420"/>
    <mergeCell ref="T418:T420"/>
    <mergeCell ref="AD418:AD420"/>
    <mergeCell ref="AE418:AE420"/>
    <mergeCell ref="K418:K420"/>
    <mergeCell ref="L418:L420"/>
    <mergeCell ref="M418:M420"/>
    <mergeCell ref="N418:N420"/>
    <mergeCell ref="P424:P426"/>
    <mergeCell ref="AR421:AR423"/>
    <mergeCell ref="AS421:AS423"/>
    <mergeCell ref="A424:A426"/>
    <mergeCell ref="B424:B426"/>
    <mergeCell ref="C424:C426"/>
    <mergeCell ref="G424:G426"/>
    <mergeCell ref="H424:H426"/>
    <mergeCell ref="I424:I426"/>
    <mergeCell ref="J424:J426"/>
    <mergeCell ref="AL421:AL423"/>
    <mergeCell ref="AM421:AM423"/>
    <mergeCell ref="AN421:AN423"/>
    <mergeCell ref="AO421:AO423"/>
    <mergeCell ref="AP421:AP423"/>
    <mergeCell ref="AQ421:AQ423"/>
    <mergeCell ref="AF421:AF423"/>
    <mergeCell ref="AG421:AG423"/>
    <mergeCell ref="AH421:AH423"/>
    <mergeCell ref="AI421:AI423"/>
    <mergeCell ref="AJ421:AJ423"/>
    <mergeCell ref="AK421:AK423"/>
    <mergeCell ref="Q421:Q423"/>
    <mergeCell ref="R421:R423"/>
    <mergeCell ref="S421:S423"/>
    <mergeCell ref="T421:T423"/>
    <mergeCell ref="AD421:AD423"/>
    <mergeCell ref="AE421:AE423"/>
    <mergeCell ref="K421:K423"/>
    <mergeCell ref="L421:L423"/>
    <mergeCell ref="M421:M423"/>
    <mergeCell ref="N421:N423"/>
    <mergeCell ref="A427:A429"/>
    <mergeCell ref="B427:B429"/>
    <mergeCell ref="C427:C429"/>
    <mergeCell ref="G427:G429"/>
    <mergeCell ref="H427:H429"/>
    <mergeCell ref="I427:I429"/>
    <mergeCell ref="J427:J429"/>
    <mergeCell ref="K427:K429"/>
    <mergeCell ref="L427:L429"/>
    <mergeCell ref="AL424:AL426"/>
    <mergeCell ref="AM424:AM426"/>
    <mergeCell ref="AN424:AN426"/>
    <mergeCell ref="AO424:AO426"/>
    <mergeCell ref="AP424:AP426"/>
    <mergeCell ref="AQ424:AQ426"/>
    <mergeCell ref="AF424:AF426"/>
    <mergeCell ref="AG424:AG426"/>
    <mergeCell ref="AH424:AH426"/>
    <mergeCell ref="AI424:AI426"/>
    <mergeCell ref="AJ424:AJ426"/>
    <mergeCell ref="AK424:AK426"/>
    <mergeCell ref="Q424:Q426"/>
    <mergeCell ref="R424:R426"/>
    <mergeCell ref="S424:S426"/>
    <mergeCell ref="T424:T426"/>
    <mergeCell ref="AD424:AD426"/>
    <mergeCell ref="AE424:AE426"/>
    <mergeCell ref="K424:K426"/>
    <mergeCell ref="L424:L426"/>
    <mergeCell ref="M424:M426"/>
    <mergeCell ref="N424:N426"/>
    <mergeCell ref="O424:O426"/>
    <mergeCell ref="M430:M432"/>
    <mergeCell ref="AN427:AN429"/>
    <mergeCell ref="AQ427:AQ429"/>
    <mergeCell ref="AR427:AR429"/>
    <mergeCell ref="AS427:AS429"/>
    <mergeCell ref="B430:B432"/>
    <mergeCell ref="C430:C432"/>
    <mergeCell ref="E430:E438"/>
    <mergeCell ref="F430:F438"/>
    <mergeCell ref="G430:G438"/>
    <mergeCell ref="AH427:AH429"/>
    <mergeCell ref="AI427:AI429"/>
    <mergeCell ref="AJ427:AJ429"/>
    <mergeCell ref="AK427:AK429"/>
    <mergeCell ref="AL427:AL429"/>
    <mergeCell ref="AM427:AM429"/>
    <mergeCell ref="S427:S429"/>
    <mergeCell ref="T427:T429"/>
    <mergeCell ref="AD427:AD429"/>
    <mergeCell ref="AE427:AE429"/>
    <mergeCell ref="AF427:AF429"/>
    <mergeCell ref="AG427:AG429"/>
    <mergeCell ref="M427:M429"/>
    <mergeCell ref="N427:N429"/>
    <mergeCell ref="O427:O429"/>
    <mergeCell ref="P427:P429"/>
    <mergeCell ref="Q427:Q429"/>
    <mergeCell ref="R427:R429"/>
    <mergeCell ref="P433:P435"/>
    <mergeCell ref="Q433:Q435"/>
    <mergeCell ref="AQ430:AQ432"/>
    <mergeCell ref="AR430:AR432"/>
    <mergeCell ref="AS430:AS432"/>
    <mergeCell ref="B433:B435"/>
    <mergeCell ref="C433:C435"/>
    <mergeCell ref="H433:H435"/>
    <mergeCell ref="I433:I435"/>
    <mergeCell ref="J433:J435"/>
    <mergeCell ref="K433:K435"/>
    <mergeCell ref="AI430:AI432"/>
    <mergeCell ref="AJ430:AJ432"/>
    <mergeCell ref="AK430:AK432"/>
    <mergeCell ref="AL430:AL432"/>
    <mergeCell ref="AM430:AM432"/>
    <mergeCell ref="AN430:AN432"/>
    <mergeCell ref="T430:T432"/>
    <mergeCell ref="AD430:AD432"/>
    <mergeCell ref="AE430:AE432"/>
    <mergeCell ref="AF430:AF432"/>
    <mergeCell ref="AG430:AG432"/>
    <mergeCell ref="AH430:AH432"/>
    <mergeCell ref="N430:N432"/>
    <mergeCell ref="O430:O432"/>
    <mergeCell ref="P430:P432"/>
    <mergeCell ref="Q430:Q432"/>
    <mergeCell ref="R430:R432"/>
    <mergeCell ref="S430:S432"/>
    <mergeCell ref="H430:H432"/>
    <mergeCell ref="I430:I432"/>
    <mergeCell ref="J430:J432"/>
    <mergeCell ref="K430:K432"/>
    <mergeCell ref="L430:L432"/>
    <mergeCell ref="N436:N438"/>
    <mergeCell ref="O436:O438"/>
    <mergeCell ref="P436:P438"/>
    <mergeCell ref="Q436:Q438"/>
    <mergeCell ref="R436:R438"/>
    <mergeCell ref="C436:C438"/>
    <mergeCell ref="H436:H438"/>
    <mergeCell ref="I436:I438"/>
    <mergeCell ref="J436:J438"/>
    <mergeCell ref="K436:K438"/>
    <mergeCell ref="L436:L438"/>
    <mergeCell ref="AM433:AM435"/>
    <mergeCell ref="AN433:AN435"/>
    <mergeCell ref="AQ433:AQ435"/>
    <mergeCell ref="AR433:AR435"/>
    <mergeCell ref="AS433:AS435"/>
    <mergeCell ref="AG433:AG435"/>
    <mergeCell ref="AH433:AH435"/>
    <mergeCell ref="AI433:AI435"/>
    <mergeCell ref="AJ433:AJ435"/>
    <mergeCell ref="AK433:AK435"/>
    <mergeCell ref="AL433:AL435"/>
    <mergeCell ref="R433:R435"/>
    <mergeCell ref="S433:S435"/>
    <mergeCell ref="T433:T435"/>
    <mergeCell ref="AD433:AD435"/>
    <mergeCell ref="AE433:AE435"/>
    <mergeCell ref="AF433:AF435"/>
    <mergeCell ref="L433:L435"/>
    <mergeCell ref="M433:M435"/>
    <mergeCell ref="N433:N435"/>
    <mergeCell ref="O433:O435"/>
    <mergeCell ref="D448:AS448"/>
    <mergeCell ref="D449:D451"/>
    <mergeCell ref="E449:E451"/>
    <mergeCell ref="F449:F451"/>
    <mergeCell ref="G449:G451"/>
    <mergeCell ref="H449:H451"/>
    <mergeCell ref="I449:I451"/>
    <mergeCell ref="J449:J451"/>
    <mergeCell ref="Q440:U440"/>
    <mergeCell ref="Q441:U441"/>
    <mergeCell ref="Q442:U442"/>
    <mergeCell ref="Q443:U443"/>
    <mergeCell ref="Q444:U444"/>
    <mergeCell ref="Q445:U445"/>
    <mergeCell ref="AN436:AN438"/>
    <mergeCell ref="AP436:AP438"/>
    <mergeCell ref="AQ436:AQ438"/>
    <mergeCell ref="AR436:AR438"/>
    <mergeCell ref="AS436:AS438"/>
    <mergeCell ref="AH436:AH438"/>
    <mergeCell ref="AI436:AI438"/>
    <mergeCell ref="AJ436:AJ438"/>
    <mergeCell ref="AK436:AK438"/>
    <mergeCell ref="AL436:AL438"/>
    <mergeCell ref="AM436:AM438"/>
    <mergeCell ref="S436:S438"/>
    <mergeCell ref="T436:T438"/>
    <mergeCell ref="AD436:AD438"/>
    <mergeCell ref="AE436:AE438"/>
    <mergeCell ref="AF436:AF438"/>
    <mergeCell ref="AG436:AG438"/>
    <mergeCell ref="M436:M438"/>
    <mergeCell ref="U450:Y450"/>
    <mergeCell ref="Z450:AC450"/>
    <mergeCell ref="AD450:AD451"/>
    <mergeCell ref="AE450:AE451"/>
    <mergeCell ref="AF450:AF451"/>
    <mergeCell ref="AH449:AH451"/>
    <mergeCell ref="AI449:AI451"/>
    <mergeCell ref="AJ449:AM450"/>
    <mergeCell ref="AN449:AS450"/>
    <mergeCell ref="S449:S451"/>
    <mergeCell ref="T449:T451"/>
    <mergeCell ref="U449:Y449"/>
    <mergeCell ref="Z449:AC449"/>
    <mergeCell ref="AD449:AF449"/>
    <mergeCell ref="AG449:AG451"/>
    <mergeCell ref="K449:M450"/>
    <mergeCell ref="N449:N451"/>
    <mergeCell ref="O449:O451"/>
    <mergeCell ref="P449:P451"/>
    <mergeCell ref="Q449:Q451"/>
    <mergeCell ref="R449:R451"/>
    <mergeCell ref="G452:G454"/>
    <mergeCell ref="H452:H454"/>
    <mergeCell ref="I452:I454"/>
    <mergeCell ref="J452:J454"/>
    <mergeCell ref="K452:K454"/>
    <mergeCell ref="L452:L454"/>
    <mergeCell ref="AD455:AD457"/>
    <mergeCell ref="AE455:AE457"/>
    <mergeCell ref="AF455:AF457"/>
    <mergeCell ref="L455:L457"/>
    <mergeCell ref="M455:M457"/>
    <mergeCell ref="N455:N457"/>
    <mergeCell ref="O455:O457"/>
    <mergeCell ref="P455:P457"/>
    <mergeCell ref="Q455:Q457"/>
    <mergeCell ref="A452:A454"/>
    <mergeCell ref="B452:B454"/>
    <mergeCell ref="C452:C454"/>
    <mergeCell ref="D452:D472"/>
    <mergeCell ref="E452:E472"/>
    <mergeCell ref="F452:F463"/>
    <mergeCell ref="T452:T454"/>
    <mergeCell ref="AD452:AD454"/>
    <mergeCell ref="AN452:AN454"/>
    <mergeCell ref="AO452:AO454"/>
    <mergeCell ref="AP452:AP454"/>
    <mergeCell ref="AQ452:AQ454"/>
    <mergeCell ref="AR452:AR454"/>
    <mergeCell ref="AS452:AS454"/>
    <mergeCell ref="AH452:AH454"/>
    <mergeCell ref="AI452:AI454"/>
    <mergeCell ref="AJ452:AJ454"/>
    <mergeCell ref="AK452:AK454"/>
    <mergeCell ref="AL452:AL454"/>
    <mergeCell ref="AM452:AM454"/>
    <mergeCell ref="S452:S454"/>
    <mergeCell ref="AE458:AE460"/>
    <mergeCell ref="AF458:AF460"/>
    <mergeCell ref="L458:L460"/>
    <mergeCell ref="M458:M460"/>
    <mergeCell ref="N458:N460"/>
    <mergeCell ref="O458:O460"/>
    <mergeCell ref="P458:P460"/>
    <mergeCell ref="Q458:Q460"/>
    <mergeCell ref="AS455:AS457"/>
    <mergeCell ref="AE452:AE454"/>
    <mergeCell ref="AF452:AF454"/>
    <mergeCell ref="AG452:AG454"/>
    <mergeCell ref="M452:M454"/>
    <mergeCell ref="N452:N454"/>
    <mergeCell ref="O452:O454"/>
    <mergeCell ref="P452:P454"/>
    <mergeCell ref="Q452:Q454"/>
    <mergeCell ref="R452:R454"/>
    <mergeCell ref="A458:A460"/>
    <mergeCell ref="B458:B460"/>
    <mergeCell ref="C458:C460"/>
    <mergeCell ref="G458:G460"/>
    <mergeCell ref="H458:H460"/>
    <mergeCell ref="I458:I460"/>
    <mergeCell ref="J458:J460"/>
    <mergeCell ref="K458:K460"/>
    <mergeCell ref="AM455:AM457"/>
    <mergeCell ref="AN455:AN457"/>
    <mergeCell ref="AO455:AO457"/>
    <mergeCell ref="AP455:AP457"/>
    <mergeCell ref="AQ455:AQ457"/>
    <mergeCell ref="AR455:AR457"/>
    <mergeCell ref="AG455:AG457"/>
    <mergeCell ref="AH455:AH457"/>
    <mergeCell ref="AI455:AI457"/>
    <mergeCell ref="AJ455:AJ457"/>
    <mergeCell ref="AK455:AK457"/>
    <mergeCell ref="AL455:AL457"/>
    <mergeCell ref="R455:R457"/>
    <mergeCell ref="S455:S457"/>
    <mergeCell ref="T455:T457"/>
    <mergeCell ref="A455:A457"/>
    <mergeCell ref="B455:B457"/>
    <mergeCell ref="C455:C457"/>
    <mergeCell ref="G455:G457"/>
    <mergeCell ref="H455:H457"/>
    <mergeCell ref="I455:I457"/>
    <mergeCell ref="J455:J457"/>
    <mergeCell ref="K455:K457"/>
    <mergeCell ref="AF461:AF463"/>
    <mergeCell ref="L461:L463"/>
    <mergeCell ref="M461:M463"/>
    <mergeCell ref="N461:N463"/>
    <mergeCell ref="O461:O463"/>
    <mergeCell ref="P461:P463"/>
    <mergeCell ref="Q461:Q463"/>
    <mergeCell ref="AS458:AS460"/>
    <mergeCell ref="A461:A463"/>
    <mergeCell ref="B461:B463"/>
    <mergeCell ref="C461:C463"/>
    <mergeCell ref="G461:G463"/>
    <mergeCell ref="H461:H463"/>
    <mergeCell ref="I461:I463"/>
    <mergeCell ref="J461:J463"/>
    <mergeCell ref="K461:K463"/>
    <mergeCell ref="AM458:AM460"/>
    <mergeCell ref="AN458:AN460"/>
    <mergeCell ref="AO458:AO460"/>
    <mergeCell ref="AP458:AP460"/>
    <mergeCell ref="AQ458:AQ460"/>
    <mergeCell ref="AR458:AR460"/>
    <mergeCell ref="AG458:AG460"/>
    <mergeCell ref="AH458:AH460"/>
    <mergeCell ref="AI458:AI460"/>
    <mergeCell ref="AJ458:AJ460"/>
    <mergeCell ref="AK458:AK460"/>
    <mergeCell ref="AL458:AL460"/>
    <mergeCell ref="R458:R460"/>
    <mergeCell ref="S458:S460"/>
    <mergeCell ref="T458:T460"/>
    <mergeCell ref="AD458:AD460"/>
    <mergeCell ref="L464:L466"/>
    <mergeCell ref="M464:M466"/>
    <mergeCell ref="N464:N466"/>
    <mergeCell ref="O464:O466"/>
    <mergeCell ref="P464:P466"/>
    <mergeCell ref="Q464:Q466"/>
    <mergeCell ref="AS461:AS463"/>
    <mergeCell ref="A464:A466"/>
    <mergeCell ref="C464:C466"/>
    <mergeCell ref="F464:F472"/>
    <mergeCell ref="G464:G472"/>
    <mergeCell ref="H464:H472"/>
    <mergeCell ref="I464:I466"/>
    <mergeCell ref="J464:J466"/>
    <mergeCell ref="K464:K466"/>
    <mergeCell ref="AM461:AM463"/>
    <mergeCell ref="AN461:AN463"/>
    <mergeCell ref="AO461:AO463"/>
    <mergeCell ref="AP461:AP463"/>
    <mergeCell ref="AQ461:AQ463"/>
    <mergeCell ref="AR461:AR463"/>
    <mergeCell ref="AG461:AG463"/>
    <mergeCell ref="AH461:AH463"/>
    <mergeCell ref="AI461:AI463"/>
    <mergeCell ref="AJ461:AJ463"/>
    <mergeCell ref="AK461:AK463"/>
    <mergeCell ref="AL461:AL463"/>
    <mergeCell ref="R461:R463"/>
    <mergeCell ref="S461:S463"/>
    <mergeCell ref="T461:T463"/>
    <mergeCell ref="AD461:AD463"/>
    <mergeCell ref="AE461:AE463"/>
    <mergeCell ref="AS464:AS466"/>
    <mergeCell ref="A467:A469"/>
    <mergeCell ref="B467:B469"/>
    <mergeCell ref="C467:C469"/>
    <mergeCell ref="I467:I469"/>
    <mergeCell ref="J467:J469"/>
    <mergeCell ref="K467:K469"/>
    <mergeCell ref="L467:L469"/>
    <mergeCell ref="M467:M469"/>
    <mergeCell ref="N467:N469"/>
    <mergeCell ref="AM464:AM466"/>
    <mergeCell ref="AN464:AN466"/>
    <mergeCell ref="AO464:AO466"/>
    <mergeCell ref="AP464:AP466"/>
    <mergeCell ref="AQ464:AQ466"/>
    <mergeCell ref="AR464:AR466"/>
    <mergeCell ref="AG464:AG472"/>
    <mergeCell ref="AH464:AH466"/>
    <mergeCell ref="AI464:AI466"/>
    <mergeCell ref="AJ464:AJ466"/>
    <mergeCell ref="AK464:AK466"/>
    <mergeCell ref="AL464:AL466"/>
    <mergeCell ref="AH467:AH469"/>
    <mergeCell ref="AI467:AI469"/>
    <mergeCell ref="AJ467:AJ469"/>
    <mergeCell ref="AK467:AK469"/>
    <mergeCell ref="R464:R466"/>
    <mergeCell ref="S464:S466"/>
    <mergeCell ref="T464:T466"/>
    <mergeCell ref="AD464:AD472"/>
    <mergeCell ref="AE464:AE472"/>
    <mergeCell ref="AF464:AF472"/>
    <mergeCell ref="L470:L472"/>
    <mergeCell ref="M470:M472"/>
    <mergeCell ref="N470:N472"/>
    <mergeCell ref="O470:O472"/>
    <mergeCell ref="P470:P472"/>
    <mergeCell ref="Q470:Q472"/>
    <mergeCell ref="AR467:AR469"/>
    <mergeCell ref="AS467:AS469"/>
    <mergeCell ref="A470:A472"/>
    <mergeCell ref="B470:B472"/>
    <mergeCell ref="C470:C472"/>
    <mergeCell ref="I470:I472"/>
    <mergeCell ref="J470:J472"/>
    <mergeCell ref="K470:K472"/>
    <mergeCell ref="AL467:AL469"/>
    <mergeCell ref="AM467:AM469"/>
    <mergeCell ref="AN467:AN469"/>
    <mergeCell ref="AO467:AO469"/>
    <mergeCell ref="AP467:AP469"/>
    <mergeCell ref="AQ467:AQ469"/>
    <mergeCell ref="O467:O469"/>
    <mergeCell ref="P467:P469"/>
    <mergeCell ref="Q467:Q469"/>
    <mergeCell ref="R467:R469"/>
    <mergeCell ref="S467:S469"/>
    <mergeCell ref="T467:T469"/>
    <mergeCell ref="R470:R472"/>
    <mergeCell ref="S470:S472"/>
    <mergeCell ref="T470:T472"/>
    <mergeCell ref="I483:I485"/>
    <mergeCell ref="J483:J485"/>
    <mergeCell ref="K483:M484"/>
    <mergeCell ref="N483:N485"/>
    <mergeCell ref="O483:O485"/>
    <mergeCell ref="P483:P485"/>
    <mergeCell ref="Q478:U478"/>
    <mergeCell ref="Q479:U479"/>
    <mergeCell ref="D482:AS482"/>
    <mergeCell ref="D483:D485"/>
    <mergeCell ref="E483:E485"/>
    <mergeCell ref="F483:F485"/>
    <mergeCell ref="G483:G485"/>
    <mergeCell ref="H483:H485"/>
    <mergeCell ref="AU471:BB471"/>
    <mergeCell ref="AU472:BB472"/>
    <mergeCell ref="Q474:U474"/>
    <mergeCell ref="Q475:U475"/>
    <mergeCell ref="Q476:U476"/>
    <mergeCell ref="Q477:U477"/>
    <mergeCell ref="AN470:AN472"/>
    <mergeCell ref="AO470:AO472"/>
    <mergeCell ref="AP470:AP472"/>
    <mergeCell ref="AQ470:AQ472"/>
    <mergeCell ref="AR470:AR472"/>
    <mergeCell ref="AS470:AS472"/>
    <mergeCell ref="AH470:AH472"/>
    <mergeCell ref="AI470:AI472"/>
    <mergeCell ref="AJ470:AJ472"/>
    <mergeCell ref="AK470:AK472"/>
    <mergeCell ref="AL470:AL472"/>
    <mergeCell ref="AM470:AM472"/>
    <mergeCell ref="AT483:AT485"/>
    <mergeCell ref="AU483:AX484"/>
    <mergeCell ref="AY483:BB484"/>
    <mergeCell ref="BC483:BC485"/>
    <mergeCell ref="BD483:BD485"/>
    <mergeCell ref="U484:Y484"/>
    <mergeCell ref="Z484:AC484"/>
    <mergeCell ref="AD484:AD485"/>
    <mergeCell ref="AE484:AE485"/>
    <mergeCell ref="AF484:AF485"/>
    <mergeCell ref="AD483:AF483"/>
    <mergeCell ref="AG483:AG485"/>
    <mergeCell ref="AH483:AH485"/>
    <mergeCell ref="AI483:AI485"/>
    <mergeCell ref="AJ483:AM484"/>
    <mergeCell ref="AN483:AS484"/>
    <mergeCell ref="Q483:Q485"/>
    <mergeCell ref="R483:R485"/>
    <mergeCell ref="S483:S485"/>
    <mergeCell ref="T483:T485"/>
    <mergeCell ref="U483:Y483"/>
    <mergeCell ref="Z483:AC483"/>
    <mergeCell ref="M486:M488"/>
    <mergeCell ref="N486:N488"/>
    <mergeCell ref="O486:O488"/>
    <mergeCell ref="P486:P488"/>
    <mergeCell ref="Q486:Q488"/>
    <mergeCell ref="R486:R488"/>
    <mergeCell ref="G486:G488"/>
    <mergeCell ref="H486:H488"/>
    <mergeCell ref="I486:I488"/>
    <mergeCell ref="J486:J488"/>
    <mergeCell ref="K486:K488"/>
    <mergeCell ref="L486:L488"/>
    <mergeCell ref="A486:A488"/>
    <mergeCell ref="B486:B488"/>
    <mergeCell ref="C486:C488"/>
    <mergeCell ref="D486:D536"/>
    <mergeCell ref="E486:E518"/>
    <mergeCell ref="F486:F518"/>
    <mergeCell ref="A507:A509"/>
    <mergeCell ref="C507:C509"/>
    <mergeCell ref="A525:A527"/>
    <mergeCell ref="B525:B527"/>
    <mergeCell ref="O498:O500"/>
    <mergeCell ref="P498:P500"/>
    <mergeCell ref="Q498:Q500"/>
    <mergeCell ref="R498:R500"/>
    <mergeCell ref="P501:P503"/>
    <mergeCell ref="Q501:Q503"/>
    <mergeCell ref="R501:R503"/>
    <mergeCell ref="P507:P509"/>
    <mergeCell ref="Q507:Q509"/>
    <mergeCell ref="R507:R509"/>
    <mergeCell ref="BC486:BC518"/>
    <mergeCell ref="BD486:BD536"/>
    <mergeCell ref="A489:A491"/>
    <mergeCell ref="B489:B491"/>
    <mergeCell ref="C489:C491"/>
    <mergeCell ref="G489:G512"/>
    <mergeCell ref="H489:H512"/>
    <mergeCell ref="I489:I512"/>
    <mergeCell ref="J489:J491"/>
    <mergeCell ref="K489:K491"/>
    <mergeCell ref="AN486:AN488"/>
    <mergeCell ref="AO486:AO488"/>
    <mergeCell ref="AP486:AP488"/>
    <mergeCell ref="AQ486:AQ488"/>
    <mergeCell ref="AR486:AR488"/>
    <mergeCell ref="AS486:AS488"/>
    <mergeCell ref="AH486:AH488"/>
    <mergeCell ref="AI486:AI488"/>
    <mergeCell ref="AJ486:AJ488"/>
    <mergeCell ref="AK486:AK488"/>
    <mergeCell ref="AL486:AL488"/>
    <mergeCell ref="AM486:AM488"/>
    <mergeCell ref="S486:S488"/>
    <mergeCell ref="T486:T488"/>
    <mergeCell ref="AD486:AD536"/>
    <mergeCell ref="AE486:AE536"/>
    <mergeCell ref="AF486:AF536"/>
    <mergeCell ref="AG486:AG536"/>
    <mergeCell ref="T492:T494"/>
    <mergeCell ref="S504:S506"/>
    <mergeCell ref="T504:T506"/>
    <mergeCell ref="T519:T521"/>
    <mergeCell ref="AQ489:AQ491"/>
    <mergeCell ref="AR489:AR491"/>
    <mergeCell ref="AS489:AS491"/>
    <mergeCell ref="A492:A494"/>
    <mergeCell ref="B492:B494"/>
    <mergeCell ref="C492:C494"/>
    <mergeCell ref="J492:J494"/>
    <mergeCell ref="K492:K494"/>
    <mergeCell ref="L492:L494"/>
    <mergeCell ref="M492:M494"/>
    <mergeCell ref="AK489:AK491"/>
    <mergeCell ref="AL489:AL491"/>
    <mergeCell ref="AM489:AM491"/>
    <mergeCell ref="AN489:AN491"/>
    <mergeCell ref="AO489:AO491"/>
    <mergeCell ref="AP489:AP491"/>
    <mergeCell ref="R489:R491"/>
    <mergeCell ref="S489:S491"/>
    <mergeCell ref="T489:T491"/>
    <mergeCell ref="AH489:AH491"/>
    <mergeCell ref="AI489:AI491"/>
    <mergeCell ref="AJ489:AJ491"/>
    <mergeCell ref="L489:L491"/>
    <mergeCell ref="M489:M491"/>
    <mergeCell ref="N489:N491"/>
    <mergeCell ref="O489:O491"/>
    <mergeCell ref="P489:P491"/>
    <mergeCell ref="Q489:Q491"/>
    <mergeCell ref="AU493:BB493"/>
    <mergeCell ref="AU494:BB494"/>
    <mergeCell ref="A495:A497"/>
    <mergeCell ref="B495:B497"/>
    <mergeCell ref="C495:C497"/>
    <mergeCell ref="J495:J497"/>
    <mergeCell ref="K495:K497"/>
    <mergeCell ref="L495:L497"/>
    <mergeCell ref="M495:M497"/>
    <mergeCell ref="N495:N497"/>
    <mergeCell ref="AN492:AN494"/>
    <mergeCell ref="AO492:AO494"/>
    <mergeCell ref="AP492:AP494"/>
    <mergeCell ref="AQ492:AQ494"/>
    <mergeCell ref="AR492:AR494"/>
    <mergeCell ref="AS492:AS494"/>
    <mergeCell ref="AH492:AH494"/>
    <mergeCell ref="AI492:AI494"/>
    <mergeCell ref="AJ492:AJ494"/>
    <mergeCell ref="AK492:AK494"/>
    <mergeCell ref="AL492:AL494"/>
    <mergeCell ref="AM492:AM494"/>
    <mergeCell ref="N492:N494"/>
    <mergeCell ref="O492:O494"/>
    <mergeCell ref="P492:P494"/>
    <mergeCell ref="Q492:Q494"/>
    <mergeCell ref="R492:R494"/>
    <mergeCell ref="S492:S494"/>
    <mergeCell ref="AU496:BB496"/>
    <mergeCell ref="AU497:BB497"/>
    <mergeCell ref="A498:A500"/>
    <mergeCell ref="B498:B500"/>
    <mergeCell ref="C498:C500"/>
    <mergeCell ref="J498:J500"/>
    <mergeCell ref="K498:K500"/>
    <mergeCell ref="L498:L500"/>
    <mergeCell ref="M498:M500"/>
    <mergeCell ref="N498:N500"/>
    <mergeCell ref="AN495:AN497"/>
    <mergeCell ref="AO495:AO497"/>
    <mergeCell ref="AP495:AP497"/>
    <mergeCell ref="AQ495:AQ497"/>
    <mergeCell ref="AR495:AR497"/>
    <mergeCell ref="AS495:AS497"/>
    <mergeCell ref="AH495:AH497"/>
    <mergeCell ref="AI495:AI497"/>
    <mergeCell ref="AJ495:AJ497"/>
    <mergeCell ref="AK495:AK497"/>
    <mergeCell ref="AL495:AL497"/>
    <mergeCell ref="AM495:AM497"/>
    <mergeCell ref="O495:O497"/>
    <mergeCell ref="P495:P497"/>
    <mergeCell ref="Q495:Q497"/>
    <mergeCell ref="R495:R497"/>
    <mergeCell ref="S495:S497"/>
    <mergeCell ref="T495:T497"/>
    <mergeCell ref="S501:S503"/>
    <mergeCell ref="T501:T503"/>
    <mergeCell ref="A504:A506"/>
    <mergeCell ref="C504:C506"/>
    <mergeCell ref="J504:J506"/>
    <mergeCell ref="K504:K506"/>
    <mergeCell ref="L504:L506"/>
    <mergeCell ref="AU499:BB499"/>
    <mergeCell ref="AU500:BB500"/>
    <mergeCell ref="A501:A503"/>
    <mergeCell ref="C501:C503"/>
    <mergeCell ref="J501:J503"/>
    <mergeCell ref="K501:K503"/>
    <mergeCell ref="L501:L503"/>
    <mergeCell ref="M501:M503"/>
    <mergeCell ref="N501:N503"/>
    <mergeCell ref="O501:O503"/>
    <mergeCell ref="AN498:AN500"/>
    <mergeCell ref="AO498:AO500"/>
    <mergeCell ref="AP498:AP500"/>
    <mergeCell ref="AQ498:AQ500"/>
    <mergeCell ref="AR498:AR500"/>
    <mergeCell ref="AS498:AS500"/>
    <mergeCell ref="AH498:AH500"/>
    <mergeCell ref="AI498:AI500"/>
    <mergeCell ref="AJ498:AJ500"/>
    <mergeCell ref="AK498:AK500"/>
    <mergeCell ref="AL498:AL500"/>
    <mergeCell ref="AM498:AM500"/>
    <mergeCell ref="S498:S500"/>
    <mergeCell ref="T498:T500"/>
    <mergeCell ref="S507:S509"/>
    <mergeCell ref="T507:T509"/>
    <mergeCell ref="A510:A512"/>
    <mergeCell ref="B510:B512"/>
    <mergeCell ref="C510:C512"/>
    <mergeCell ref="J510:J512"/>
    <mergeCell ref="K510:K512"/>
    <mergeCell ref="J507:J509"/>
    <mergeCell ref="K507:K509"/>
    <mergeCell ref="L507:L509"/>
    <mergeCell ref="M507:M509"/>
    <mergeCell ref="N507:N509"/>
    <mergeCell ref="O507:O509"/>
    <mergeCell ref="M504:M506"/>
    <mergeCell ref="N504:N506"/>
    <mergeCell ref="O504:O506"/>
    <mergeCell ref="P504:P506"/>
    <mergeCell ref="Q504:Q506"/>
    <mergeCell ref="R504:R506"/>
    <mergeCell ref="AR510:AR512"/>
    <mergeCell ref="AS510:AS512"/>
    <mergeCell ref="A513:A515"/>
    <mergeCell ref="C513:C515"/>
    <mergeCell ref="G513:G518"/>
    <mergeCell ref="H513:H518"/>
    <mergeCell ref="I513:I518"/>
    <mergeCell ref="AK510:AK512"/>
    <mergeCell ref="AL510:AL512"/>
    <mergeCell ref="AM510:AM512"/>
    <mergeCell ref="AN510:AN512"/>
    <mergeCell ref="AO510:AO512"/>
    <mergeCell ref="AP510:AP512"/>
    <mergeCell ref="R510:R512"/>
    <mergeCell ref="S510:S512"/>
    <mergeCell ref="T510:T512"/>
    <mergeCell ref="AH510:AH512"/>
    <mergeCell ref="AI510:AI512"/>
    <mergeCell ref="AJ510:AJ512"/>
    <mergeCell ref="L510:L512"/>
    <mergeCell ref="M510:M512"/>
    <mergeCell ref="N510:N512"/>
    <mergeCell ref="O510:O512"/>
    <mergeCell ref="P510:P512"/>
    <mergeCell ref="Q510:Q512"/>
    <mergeCell ref="P513:P515"/>
    <mergeCell ref="Q513:Q515"/>
    <mergeCell ref="R513:R515"/>
    <mergeCell ref="S513:S515"/>
    <mergeCell ref="T513:T515"/>
    <mergeCell ref="A516:A518"/>
    <mergeCell ref="B516:B518"/>
    <mergeCell ref="C516:C518"/>
    <mergeCell ref="J516:J518"/>
    <mergeCell ref="K516:K518"/>
    <mergeCell ref="J513:J515"/>
    <mergeCell ref="K513:K515"/>
    <mergeCell ref="L513:L515"/>
    <mergeCell ref="M513:M515"/>
    <mergeCell ref="N513:N515"/>
    <mergeCell ref="O513:O515"/>
    <mergeCell ref="AQ510:AQ512"/>
    <mergeCell ref="L519:L521"/>
    <mergeCell ref="M519:M521"/>
    <mergeCell ref="AQ516:AQ518"/>
    <mergeCell ref="AR516:AR518"/>
    <mergeCell ref="AS516:AS518"/>
    <mergeCell ref="A519:A521"/>
    <mergeCell ref="B519:B521"/>
    <mergeCell ref="C519:C521"/>
    <mergeCell ref="E519:E530"/>
    <mergeCell ref="F519:F530"/>
    <mergeCell ref="G519:G527"/>
    <mergeCell ref="AK516:AK518"/>
    <mergeCell ref="AL516:AL518"/>
    <mergeCell ref="AM516:AM518"/>
    <mergeCell ref="AN516:AN518"/>
    <mergeCell ref="AO516:AO518"/>
    <mergeCell ref="AP516:AP518"/>
    <mergeCell ref="R516:R518"/>
    <mergeCell ref="S516:S518"/>
    <mergeCell ref="T516:T518"/>
    <mergeCell ref="AH516:AH518"/>
    <mergeCell ref="AI516:AI518"/>
    <mergeCell ref="AJ516:AJ518"/>
    <mergeCell ref="L516:L518"/>
    <mergeCell ref="M516:M518"/>
    <mergeCell ref="N516:N518"/>
    <mergeCell ref="O516:O518"/>
    <mergeCell ref="P516:P518"/>
    <mergeCell ref="Q516:Q518"/>
    <mergeCell ref="BC519:BC530"/>
    <mergeCell ref="B522:B524"/>
    <mergeCell ref="C522:C524"/>
    <mergeCell ref="I522:I524"/>
    <mergeCell ref="J522:J524"/>
    <mergeCell ref="K522:K524"/>
    <mergeCell ref="L522:L524"/>
    <mergeCell ref="M522:M524"/>
    <mergeCell ref="N522:N524"/>
    <mergeCell ref="O522:O524"/>
    <mergeCell ref="AN519:AN521"/>
    <mergeCell ref="AO519:AO521"/>
    <mergeCell ref="AP519:AP521"/>
    <mergeCell ref="AQ519:AQ521"/>
    <mergeCell ref="AR519:AR521"/>
    <mergeCell ref="AS519:AS521"/>
    <mergeCell ref="AH519:AH521"/>
    <mergeCell ref="AI519:AI521"/>
    <mergeCell ref="AJ519:AJ521"/>
    <mergeCell ref="AK519:AK521"/>
    <mergeCell ref="AL519:AL521"/>
    <mergeCell ref="AM519:AM521"/>
    <mergeCell ref="N519:N521"/>
    <mergeCell ref="O519:O521"/>
    <mergeCell ref="P519:P521"/>
    <mergeCell ref="Q519:Q521"/>
    <mergeCell ref="R519:R521"/>
    <mergeCell ref="S519:S521"/>
    <mergeCell ref="H519:H527"/>
    <mergeCell ref="I519:I521"/>
    <mergeCell ref="J519:J521"/>
    <mergeCell ref="K519:K521"/>
    <mergeCell ref="L525:L527"/>
    <mergeCell ref="M525:M527"/>
    <mergeCell ref="AO522:AO524"/>
    <mergeCell ref="AP522:AP524"/>
    <mergeCell ref="AQ522:AQ524"/>
    <mergeCell ref="AR522:AR524"/>
    <mergeCell ref="AS522:AS524"/>
    <mergeCell ref="AI522:AI524"/>
    <mergeCell ref="AJ522:AJ524"/>
    <mergeCell ref="AK522:AK524"/>
    <mergeCell ref="AL522:AL524"/>
    <mergeCell ref="AM522:AM524"/>
    <mergeCell ref="AN522:AN524"/>
    <mergeCell ref="P522:P524"/>
    <mergeCell ref="Q522:Q524"/>
    <mergeCell ref="R522:R524"/>
    <mergeCell ref="S522:S524"/>
    <mergeCell ref="T522:T524"/>
    <mergeCell ref="AH522:AH524"/>
    <mergeCell ref="O528:O530"/>
    <mergeCell ref="P528:P530"/>
    <mergeCell ref="AS525:AS527"/>
    <mergeCell ref="A528:A530"/>
    <mergeCell ref="B528:B530"/>
    <mergeCell ref="C528:C530"/>
    <mergeCell ref="G528:G530"/>
    <mergeCell ref="H528:H530"/>
    <mergeCell ref="I528:I530"/>
    <mergeCell ref="J528:J530"/>
    <mergeCell ref="AM525:AM527"/>
    <mergeCell ref="AN525:AN527"/>
    <mergeCell ref="AO525:AO527"/>
    <mergeCell ref="AP525:AP527"/>
    <mergeCell ref="AQ525:AQ527"/>
    <mergeCell ref="AR525:AR527"/>
    <mergeCell ref="T525:T527"/>
    <mergeCell ref="AH525:AH527"/>
    <mergeCell ref="AI525:AI527"/>
    <mergeCell ref="AJ525:AJ527"/>
    <mergeCell ref="AK525:AK527"/>
    <mergeCell ref="AL525:AL527"/>
    <mergeCell ref="N525:N527"/>
    <mergeCell ref="O525:O527"/>
    <mergeCell ref="P525:P527"/>
    <mergeCell ref="Q525:Q527"/>
    <mergeCell ref="R525:R527"/>
    <mergeCell ref="S525:S527"/>
    <mergeCell ref="C525:C527"/>
    <mergeCell ref="I525:I527"/>
    <mergeCell ref="J525:J527"/>
    <mergeCell ref="K525:K527"/>
    <mergeCell ref="S531:S533"/>
    <mergeCell ref="H531:H536"/>
    <mergeCell ref="I531:I536"/>
    <mergeCell ref="J531:J533"/>
    <mergeCell ref="K531:K533"/>
    <mergeCell ref="L531:L533"/>
    <mergeCell ref="M531:M533"/>
    <mergeCell ref="AP528:AP530"/>
    <mergeCell ref="AQ528:AQ530"/>
    <mergeCell ref="AR528:AR530"/>
    <mergeCell ref="AS528:AS530"/>
    <mergeCell ref="B531:B533"/>
    <mergeCell ref="C531:C533"/>
    <mergeCell ref="E531:E536"/>
    <mergeCell ref="F531:F536"/>
    <mergeCell ref="G531:G536"/>
    <mergeCell ref="AJ528:AJ530"/>
    <mergeCell ref="AK528:AK530"/>
    <mergeCell ref="AL528:AL530"/>
    <mergeCell ref="AM528:AM530"/>
    <mergeCell ref="AN528:AN530"/>
    <mergeCell ref="AO528:AO530"/>
    <mergeCell ref="Q528:Q530"/>
    <mergeCell ref="R528:R530"/>
    <mergeCell ref="S528:S530"/>
    <mergeCell ref="T528:T530"/>
    <mergeCell ref="AH528:AH530"/>
    <mergeCell ref="AI528:AI530"/>
    <mergeCell ref="K528:K530"/>
    <mergeCell ref="L528:L530"/>
    <mergeCell ref="M528:M530"/>
    <mergeCell ref="N528:N530"/>
    <mergeCell ref="O534:O536"/>
    <mergeCell ref="P534:P536"/>
    <mergeCell ref="Q534:Q536"/>
    <mergeCell ref="R534:R536"/>
    <mergeCell ref="S534:S536"/>
    <mergeCell ref="T534:T536"/>
    <mergeCell ref="AS531:AS533"/>
    <mergeCell ref="A534:A536"/>
    <mergeCell ref="B534:B536"/>
    <mergeCell ref="C534:C536"/>
    <mergeCell ref="J534:J536"/>
    <mergeCell ref="K534:K536"/>
    <mergeCell ref="L534:L536"/>
    <mergeCell ref="M534:M536"/>
    <mergeCell ref="N534:N536"/>
    <mergeCell ref="AM531:AM533"/>
    <mergeCell ref="AN531:AN533"/>
    <mergeCell ref="AO531:AO533"/>
    <mergeCell ref="AP531:AP533"/>
    <mergeCell ref="AQ531:AQ533"/>
    <mergeCell ref="AR531:AR533"/>
    <mergeCell ref="T531:T533"/>
    <mergeCell ref="AH531:AH533"/>
    <mergeCell ref="AI531:AI533"/>
    <mergeCell ref="AJ531:AJ533"/>
    <mergeCell ref="AK531:AK533"/>
    <mergeCell ref="AL531:AL533"/>
    <mergeCell ref="N531:N533"/>
    <mergeCell ref="O531:O533"/>
    <mergeCell ref="P531:P533"/>
    <mergeCell ref="Q531:Q533"/>
    <mergeCell ref="R531:R533"/>
    <mergeCell ref="J547:J549"/>
    <mergeCell ref="K547:M548"/>
    <mergeCell ref="N547:N549"/>
    <mergeCell ref="O547:O549"/>
    <mergeCell ref="P547:P549"/>
    <mergeCell ref="Q547:Q549"/>
    <mergeCell ref="Q543:U543"/>
    <mergeCell ref="D546:AS546"/>
    <mergeCell ref="D547:D549"/>
    <mergeCell ref="E547:E549"/>
    <mergeCell ref="F547:F549"/>
    <mergeCell ref="G547:G549"/>
    <mergeCell ref="H547:H549"/>
    <mergeCell ref="I547:I549"/>
    <mergeCell ref="AU536:BB536"/>
    <mergeCell ref="Q538:U538"/>
    <mergeCell ref="Q539:U539"/>
    <mergeCell ref="Q540:U540"/>
    <mergeCell ref="Q541:U541"/>
    <mergeCell ref="Q542:U542"/>
    <mergeCell ref="AN534:AN536"/>
    <mergeCell ref="AO534:AO536"/>
    <mergeCell ref="AP534:AP536"/>
    <mergeCell ref="AQ534:AQ536"/>
    <mergeCell ref="AR534:AR536"/>
    <mergeCell ref="AS534:AS536"/>
    <mergeCell ref="AH534:AH536"/>
    <mergeCell ref="AI534:AI536"/>
    <mergeCell ref="AJ534:AJ536"/>
    <mergeCell ref="AK534:AK536"/>
    <mergeCell ref="AL534:AL536"/>
    <mergeCell ref="AM534:AM536"/>
    <mergeCell ref="AU547:AX548"/>
    <mergeCell ref="AY547:BB548"/>
    <mergeCell ref="BC547:BC549"/>
    <mergeCell ref="BD547:BD549"/>
    <mergeCell ref="U548:Y548"/>
    <mergeCell ref="Z548:AC548"/>
    <mergeCell ref="AD548:AD549"/>
    <mergeCell ref="AE548:AE549"/>
    <mergeCell ref="AF548:AF549"/>
    <mergeCell ref="AG547:AG549"/>
    <mergeCell ref="AH547:AH549"/>
    <mergeCell ref="AI547:AI549"/>
    <mergeCell ref="AJ547:AM548"/>
    <mergeCell ref="AN547:AS548"/>
    <mergeCell ref="R547:R549"/>
    <mergeCell ref="S547:S549"/>
    <mergeCell ref="T547:T549"/>
    <mergeCell ref="U547:Y547"/>
    <mergeCell ref="Z547:AC547"/>
    <mergeCell ref="AD547:AF547"/>
    <mergeCell ref="M550:M552"/>
    <mergeCell ref="N550:N552"/>
    <mergeCell ref="O550:O552"/>
    <mergeCell ref="P550:P552"/>
    <mergeCell ref="Q550:Q552"/>
    <mergeCell ref="R550:R552"/>
    <mergeCell ref="G550:G564"/>
    <mergeCell ref="H550:H552"/>
    <mergeCell ref="I550:I552"/>
    <mergeCell ref="J550:J552"/>
    <mergeCell ref="K550:K552"/>
    <mergeCell ref="L550:L552"/>
    <mergeCell ref="H553:H555"/>
    <mergeCell ref="I553:I555"/>
    <mergeCell ref="J553:J555"/>
    <mergeCell ref="K553:K555"/>
    <mergeCell ref="A550:A552"/>
    <mergeCell ref="B550:B552"/>
    <mergeCell ref="C550:C552"/>
    <mergeCell ref="D550:D615"/>
    <mergeCell ref="E550:E615"/>
    <mergeCell ref="F550:F570"/>
    <mergeCell ref="A553:A555"/>
    <mergeCell ref="B553:B555"/>
    <mergeCell ref="C553:C555"/>
    <mergeCell ref="A556:A558"/>
    <mergeCell ref="R553:R555"/>
    <mergeCell ref="L553:L555"/>
    <mergeCell ref="M553:M555"/>
    <mergeCell ref="N553:N555"/>
    <mergeCell ref="O553:O555"/>
    <mergeCell ref="P553:P555"/>
    <mergeCell ref="AP550:AP552"/>
    <mergeCell ref="AQ550:AQ552"/>
    <mergeCell ref="AR550:AR552"/>
    <mergeCell ref="AS550:AS552"/>
    <mergeCell ref="AS553:AS555"/>
    <mergeCell ref="AS556:AS558"/>
    <mergeCell ref="AH550:AH552"/>
    <mergeCell ref="AI550:AI552"/>
    <mergeCell ref="AJ550:AJ552"/>
    <mergeCell ref="AK550:AK552"/>
    <mergeCell ref="AL550:AL552"/>
    <mergeCell ref="AM550:AM552"/>
    <mergeCell ref="S550:S552"/>
    <mergeCell ref="T550:T552"/>
    <mergeCell ref="AD550:AD570"/>
    <mergeCell ref="AE550:AE570"/>
    <mergeCell ref="AF550:AF570"/>
    <mergeCell ref="AG550:AG570"/>
    <mergeCell ref="S559:S561"/>
    <mergeCell ref="T559:T561"/>
    <mergeCell ref="T562:T564"/>
    <mergeCell ref="AK553:AK555"/>
    <mergeCell ref="AL553:AL555"/>
    <mergeCell ref="AM553:AM555"/>
    <mergeCell ref="AP553:AP555"/>
    <mergeCell ref="AQ553:AQ555"/>
    <mergeCell ref="AR553:AR555"/>
    <mergeCell ref="S553:S555"/>
    <mergeCell ref="T553:T555"/>
    <mergeCell ref="AH553:AH555"/>
    <mergeCell ref="AI553:AI555"/>
    <mergeCell ref="AJ553:AJ555"/>
    <mergeCell ref="Q553:Q555"/>
    <mergeCell ref="A559:A561"/>
    <mergeCell ref="B559:B561"/>
    <mergeCell ref="C559:C561"/>
    <mergeCell ref="H559:H564"/>
    <mergeCell ref="I559:I564"/>
    <mergeCell ref="J559:J561"/>
    <mergeCell ref="K559:K561"/>
    <mergeCell ref="L559:L561"/>
    <mergeCell ref="AK556:AK558"/>
    <mergeCell ref="AL556:AL558"/>
    <mergeCell ref="AM556:AM558"/>
    <mergeCell ref="AP556:AP558"/>
    <mergeCell ref="AQ556:AQ558"/>
    <mergeCell ref="AR556:AR558"/>
    <mergeCell ref="R556:R558"/>
    <mergeCell ref="S556:S558"/>
    <mergeCell ref="T556:T558"/>
    <mergeCell ref="AH556:AH558"/>
    <mergeCell ref="AI556:AI558"/>
    <mergeCell ref="AJ556:AJ558"/>
    <mergeCell ref="L556:L558"/>
    <mergeCell ref="M556:M558"/>
    <mergeCell ref="N556:N558"/>
    <mergeCell ref="O556:O558"/>
    <mergeCell ref="P556:P558"/>
    <mergeCell ref="Q556:Q558"/>
    <mergeCell ref="B556:B558"/>
    <mergeCell ref="C556:C558"/>
    <mergeCell ref="H556:H558"/>
    <mergeCell ref="I556:I558"/>
    <mergeCell ref="J556:J558"/>
    <mergeCell ref="K556:K558"/>
    <mergeCell ref="AP559:AP561"/>
    <mergeCell ref="AQ559:AQ561"/>
    <mergeCell ref="AR559:AR561"/>
    <mergeCell ref="AS559:AS561"/>
    <mergeCell ref="AH559:AH561"/>
    <mergeCell ref="AI559:AI561"/>
    <mergeCell ref="AJ559:AJ561"/>
    <mergeCell ref="AK559:AK561"/>
    <mergeCell ref="AL559:AL561"/>
    <mergeCell ref="AM559:AM561"/>
    <mergeCell ref="M559:M561"/>
    <mergeCell ref="N559:N561"/>
    <mergeCell ref="O559:O561"/>
    <mergeCell ref="P559:P561"/>
    <mergeCell ref="Q559:Q561"/>
    <mergeCell ref="R559:R561"/>
    <mergeCell ref="AU557:BB557"/>
    <mergeCell ref="AU558:BB558"/>
    <mergeCell ref="AP562:AP564"/>
    <mergeCell ref="AQ562:AQ564"/>
    <mergeCell ref="AR562:AR564"/>
    <mergeCell ref="AS562:AS564"/>
    <mergeCell ref="AH562:AH564"/>
    <mergeCell ref="AI562:AI564"/>
    <mergeCell ref="AJ562:AJ564"/>
    <mergeCell ref="AK562:AK564"/>
    <mergeCell ref="AL562:AL564"/>
    <mergeCell ref="AM562:AM564"/>
    <mergeCell ref="N562:N564"/>
    <mergeCell ref="O562:O564"/>
    <mergeCell ref="P562:P564"/>
    <mergeCell ref="Q562:Q564"/>
    <mergeCell ref="R562:R564"/>
    <mergeCell ref="S562:S564"/>
    <mergeCell ref="B562:B564"/>
    <mergeCell ref="C562:C564"/>
    <mergeCell ref="J562:J564"/>
    <mergeCell ref="K562:K564"/>
    <mergeCell ref="L562:L564"/>
    <mergeCell ref="M562:M564"/>
    <mergeCell ref="AR565:AR567"/>
    <mergeCell ref="AS565:AS567"/>
    <mergeCell ref="B568:B570"/>
    <mergeCell ref="C568:C570"/>
    <mergeCell ref="H568:H570"/>
    <mergeCell ref="I568:I570"/>
    <mergeCell ref="J568:J570"/>
    <mergeCell ref="K568:K570"/>
    <mergeCell ref="AJ565:AJ567"/>
    <mergeCell ref="AK565:AK567"/>
    <mergeCell ref="AL565:AL567"/>
    <mergeCell ref="AM565:AM567"/>
    <mergeCell ref="AN565:AN567"/>
    <mergeCell ref="AQ565:AQ567"/>
    <mergeCell ref="Q565:Q567"/>
    <mergeCell ref="R565:R567"/>
    <mergeCell ref="S565:S567"/>
    <mergeCell ref="T565:T567"/>
    <mergeCell ref="AH565:AH567"/>
    <mergeCell ref="AI565:AI567"/>
    <mergeCell ref="K565:K567"/>
    <mergeCell ref="L565:L567"/>
    <mergeCell ref="M565:M567"/>
    <mergeCell ref="N565:N567"/>
    <mergeCell ref="O565:O567"/>
    <mergeCell ref="P565:P567"/>
    <mergeCell ref="B565:B567"/>
    <mergeCell ref="C565:C567"/>
    <mergeCell ref="G565:G570"/>
    <mergeCell ref="H565:H567"/>
    <mergeCell ref="I565:I567"/>
    <mergeCell ref="J565:J567"/>
    <mergeCell ref="L571:L573"/>
    <mergeCell ref="M571:M573"/>
    <mergeCell ref="AQ568:AQ570"/>
    <mergeCell ref="AR568:AR570"/>
    <mergeCell ref="AS568:AS570"/>
    <mergeCell ref="A571:A573"/>
    <mergeCell ref="B571:B573"/>
    <mergeCell ref="C571:C573"/>
    <mergeCell ref="F571:F615"/>
    <mergeCell ref="G571:G615"/>
    <mergeCell ref="AK568:AK570"/>
    <mergeCell ref="AL568:AL570"/>
    <mergeCell ref="AM568:AM570"/>
    <mergeCell ref="AN568:AN570"/>
    <mergeCell ref="AO568:AO570"/>
    <mergeCell ref="AP568:AP570"/>
    <mergeCell ref="R568:R570"/>
    <mergeCell ref="S568:S570"/>
    <mergeCell ref="T568:T570"/>
    <mergeCell ref="AH568:AH570"/>
    <mergeCell ref="AI568:AI570"/>
    <mergeCell ref="AJ568:AJ570"/>
    <mergeCell ref="L568:L570"/>
    <mergeCell ref="M568:M570"/>
    <mergeCell ref="N568:N570"/>
    <mergeCell ref="O568:O570"/>
    <mergeCell ref="P568:P570"/>
    <mergeCell ref="Q568:Q570"/>
    <mergeCell ref="AO571:AO573"/>
    <mergeCell ref="AP571:AP573"/>
    <mergeCell ref="AQ571:AQ573"/>
    <mergeCell ref="AR571:AR573"/>
    <mergeCell ref="AS571:AS573"/>
    <mergeCell ref="A574:A576"/>
    <mergeCell ref="C574:C576"/>
    <mergeCell ref="H574:H579"/>
    <mergeCell ref="I574:I579"/>
    <mergeCell ref="J574:J576"/>
    <mergeCell ref="AI571:AI573"/>
    <mergeCell ref="AJ571:AJ573"/>
    <mergeCell ref="AK571:AK573"/>
    <mergeCell ref="AL571:AL573"/>
    <mergeCell ref="AM571:AM573"/>
    <mergeCell ref="AN571:AN573"/>
    <mergeCell ref="T571:T573"/>
    <mergeCell ref="AD571:AD573"/>
    <mergeCell ref="AE571:AE573"/>
    <mergeCell ref="AF571:AF573"/>
    <mergeCell ref="AG571:AG573"/>
    <mergeCell ref="AH571:AH573"/>
    <mergeCell ref="N571:N573"/>
    <mergeCell ref="O571:O573"/>
    <mergeCell ref="P571:P573"/>
    <mergeCell ref="Q571:Q573"/>
    <mergeCell ref="R571:R573"/>
    <mergeCell ref="S571:S573"/>
    <mergeCell ref="H571:H573"/>
    <mergeCell ref="I571:I573"/>
    <mergeCell ref="J571:J573"/>
    <mergeCell ref="K571:K573"/>
    <mergeCell ref="AP574:AP576"/>
    <mergeCell ref="AQ574:AQ576"/>
    <mergeCell ref="AR574:AR576"/>
    <mergeCell ref="AS574:AS576"/>
    <mergeCell ref="A577:A579"/>
    <mergeCell ref="C577:C579"/>
    <mergeCell ref="J577:J579"/>
    <mergeCell ref="K577:K579"/>
    <mergeCell ref="L577:L579"/>
    <mergeCell ref="M577:M579"/>
    <mergeCell ref="AJ574:AJ576"/>
    <mergeCell ref="AK574:AK576"/>
    <mergeCell ref="AL574:AL576"/>
    <mergeCell ref="AM574:AM576"/>
    <mergeCell ref="AN574:AN576"/>
    <mergeCell ref="AO574:AO576"/>
    <mergeCell ref="Q574:Q576"/>
    <mergeCell ref="R574:R576"/>
    <mergeCell ref="S574:S576"/>
    <mergeCell ref="T574:T576"/>
    <mergeCell ref="AH574:AH576"/>
    <mergeCell ref="AI574:AI576"/>
    <mergeCell ref="K574:K576"/>
    <mergeCell ref="L574:L576"/>
    <mergeCell ref="M574:M576"/>
    <mergeCell ref="N574:N576"/>
    <mergeCell ref="O574:O576"/>
    <mergeCell ref="P574:P576"/>
    <mergeCell ref="AS577:AS579"/>
    <mergeCell ref="A580:A582"/>
    <mergeCell ref="B580:B582"/>
    <mergeCell ref="C580:C582"/>
    <mergeCell ref="H580:H582"/>
    <mergeCell ref="I580:I582"/>
    <mergeCell ref="J580:J582"/>
    <mergeCell ref="K580:K582"/>
    <mergeCell ref="L580:L582"/>
    <mergeCell ref="M580:M582"/>
    <mergeCell ref="AM577:AM579"/>
    <mergeCell ref="AN577:AN579"/>
    <mergeCell ref="AO577:AO579"/>
    <mergeCell ref="AP577:AP579"/>
    <mergeCell ref="AQ577:AQ579"/>
    <mergeCell ref="AR577:AR579"/>
    <mergeCell ref="T577:T579"/>
    <mergeCell ref="AH577:AH579"/>
    <mergeCell ref="AI577:AI579"/>
    <mergeCell ref="AJ577:AJ579"/>
    <mergeCell ref="AK577:AK579"/>
    <mergeCell ref="AL577:AL579"/>
    <mergeCell ref="N577:N579"/>
    <mergeCell ref="O577:O579"/>
    <mergeCell ref="P577:P579"/>
    <mergeCell ref="Q577:Q579"/>
    <mergeCell ref="R577:R579"/>
    <mergeCell ref="S577:S579"/>
    <mergeCell ref="O583:O585"/>
    <mergeCell ref="P583:P585"/>
    <mergeCell ref="A583:A585"/>
    <mergeCell ref="B583:B585"/>
    <mergeCell ref="C583:C585"/>
    <mergeCell ref="H583:H585"/>
    <mergeCell ref="I583:I585"/>
    <mergeCell ref="J583:J585"/>
    <mergeCell ref="AO580:AO582"/>
    <mergeCell ref="AP580:AP582"/>
    <mergeCell ref="AQ580:AQ582"/>
    <mergeCell ref="AR580:AR582"/>
    <mergeCell ref="AS580:AS582"/>
    <mergeCell ref="AI580:AI582"/>
    <mergeCell ref="AJ580:AJ582"/>
    <mergeCell ref="AK580:AK582"/>
    <mergeCell ref="AL580:AL582"/>
    <mergeCell ref="AM580:AM582"/>
    <mergeCell ref="AN580:AN582"/>
    <mergeCell ref="T580:T582"/>
    <mergeCell ref="AD580:AD582"/>
    <mergeCell ref="AE580:AE582"/>
    <mergeCell ref="AF580:AF582"/>
    <mergeCell ref="AG580:AG582"/>
    <mergeCell ref="AH580:AH582"/>
    <mergeCell ref="N580:N582"/>
    <mergeCell ref="O580:O582"/>
    <mergeCell ref="P580:P582"/>
    <mergeCell ref="Q580:Q582"/>
    <mergeCell ref="R580:R582"/>
    <mergeCell ref="S580:S582"/>
    <mergeCell ref="AR583:AR585"/>
    <mergeCell ref="AS583:AS585"/>
    <mergeCell ref="A586:A588"/>
    <mergeCell ref="C586:C588"/>
    <mergeCell ref="H586:H591"/>
    <mergeCell ref="I586:I591"/>
    <mergeCell ref="J586:J588"/>
    <mergeCell ref="K586:K588"/>
    <mergeCell ref="L586:L588"/>
    <mergeCell ref="M586:M588"/>
    <mergeCell ref="AL583:AL585"/>
    <mergeCell ref="AM583:AM585"/>
    <mergeCell ref="AN583:AN585"/>
    <mergeCell ref="AO583:AO585"/>
    <mergeCell ref="AP583:AP585"/>
    <mergeCell ref="AQ583:AQ585"/>
    <mergeCell ref="AF583:AF585"/>
    <mergeCell ref="AG583:AG585"/>
    <mergeCell ref="AH583:AH585"/>
    <mergeCell ref="AI583:AI585"/>
    <mergeCell ref="AJ583:AJ585"/>
    <mergeCell ref="AK583:AK585"/>
    <mergeCell ref="Q583:Q585"/>
    <mergeCell ref="R583:R585"/>
    <mergeCell ref="S583:S585"/>
    <mergeCell ref="T583:T585"/>
    <mergeCell ref="AD583:AD585"/>
    <mergeCell ref="AE583:AE585"/>
    <mergeCell ref="K583:K585"/>
    <mergeCell ref="L583:L585"/>
    <mergeCell ref="M583:M585"/>
    <mergeCell ref="N583:N585"/>
    <mergeCell ref="AS586:AS588"/>
    <mergeCell ref="K589:K591"/>
    <mergeCell ref="L589:L591"/>
    <mergeCell ref="M589:M591"/>
    <mergeCell ref="N589:N591"/>
    <mergeCell ref="O589:O591"/>
    <mergeCell ref="P589:P591"/>
    <mergeCell ref="AM586:AM588"/>
    <mergeCell ref="AN586:AN588"/>
    <mergeCell ref="AO586:AO588"/>
    <mergeCell ref="AP586:AP588"/>
    <mergeCell ref="AQ586:AQ588"/>
    <mergeCell ref="AR586:AR588"/>
    <mergeCell ref="T586:T588"/>
    <mergeCell ref="AH586:AH588"/>
    <mergeCell ref="AI586:AI588"/>
    <mergeCell ref="AJ586:AJ588"/>
    <mergeCell ref="AK586:AK588"/>
    <mergeCell ref="AL586:AL588"/>
    <mergeCell ref="N586:N588"/>
    <mergeCell ref="O586:O588"/>
    <mergeCell ref="P586:P588"/>
    <mergeCell ref="Q586:Q588"/>
    <mergeCell ref="R586:R588"/>
    <mergeCell ref="S586:S588"/>
    <mergeCell ref="R592:R594"/>
    <mergeCell ref="AR589:AR591"/>
    <mergeCell ref="AS589:AS591"/>
    <mergeCell ref="A592:A594"/>
    <mergeCell ref="B592:B594"/>
    <mergeCell ref="C592:C594"/>
    <mergeCell ref="H592:H594"/>
    <mergeCell ref="I592:I594"/>
    <mergeCell ref="J592:J594"/>
    <mergeCell ref="K592:K594"/>
    <mergeCell ref="L592:L594"/>
    <mergeCell ref="AL589:AL591"/>
    <mergeCell ref="AM589:AM591"/>
    <mergeCell ref="AN589:AN591"/>
    <mergeCell ref="AO589:AO591"/>
    <mergeCell ref="AP589:AP591"/>
    <mergeCell ref="AQ589:AQ591"/>
    <mergeCell ref="AF589:AF591"/>
    <mergeCell ref="AG589:AG591"/>
    <mergeCell ref="AH589:AH591"/>
    <mergeCell ref="AI589:AI591"/>
    <mergeCell ref="AJ589:AJ591"/>
    <mergeCell ref="AK589:AK591"/>
    <mergeCell ref="Q589:Q591"/>
    <mergeCell ref="R589:R591"/>
    <mergeCell ref="S589:S591"/>
    <mergeCell ref="T589:T591"/>
    <mergeCell ref="AD589:AD591"/>
    <mergeCell ref="AE589:AE591"/>
    <mergeCell ref="A589:A591"/>
    <mergeCell ref="C589:C591"/>
    <mergeCell ref="J589:J591"/>
    <mergeCell ref="N595:N597"/>
    <mergeCell ref="O595:O597"/>
    <mergeCell ref="P595:P597"/>
    <mergeCell ref="A595:A597"/>
    <mergeCell ref="B595:B597"/>
    <mergeCell ref="C595:C597"/>
    <mergeCell ref="H595:H597"/>
    <mergeCell ref="I595:I597"/>
    <mergeCell ref="J595:J597"/>
    <mergeCell ref="AN592:AN594"/>
    <mergeCell ref="AO592:AO594"/>
    <mergeCell ref="AP592:AP594"/>
    <mergeCell ref="AQ592:AQ594"/>
    <mergeCell ref="AR592:AR594"/>
    <mergeCell ref="AS592:AS594"/>
    <mergeCell ref="AH592:AH594"/>
    <mergeCell ref="AI592:AI594"/>
    <mergeCell ref="AJ592:AJ594"/>
    <mergeCell ref="AK592:AK594"/>
    <mergeCell ref="AL592:AL594"/>
    <mergeCell ref="AM592:AM594"/>
    <mergeCell ref="S592:S594"/>
    <mergeCell ref="T592:T594"/>
    <mergeCell ref="AD592:AD594"/>
    <mergeCell ref="AE592:AE594"/>
    <mergeCell ref="AF592:AF594"/>
    <mergeCell ref="AG592:AG594"/>
    <mergeCell ref="M592:M594"/>
    <mergeCell ref="N592:N594"/>
    <mergeCell ref="O592:O594"/>
    <mergeCell ref="P592:P594"/>
    <mergeCell ref="Q592:Q594"/>
    <mergeCell ref="Q598:Q600"/>
    <mergeCell ref="R598:R600"/>
    <mergeCell ref="AR595:AR597"/>
    <mergeCell ref="AS595:AS597"/>
    <mergeCell ref="A598:A600"/>
    <mergeCell ref="C598:C600"/>
    <mergeCell ref="H598:H600"/>
    <mergeCell ref="I598:I600"/>
    <mergeCell ref="J598:J600"/>
    <mergeCell ref="K598:K600"/>
    <mergeCell ref="L598:L600"/>
    <mergeCell ref="AL595:AL597"/>
    <mergeCell ref="AM595:AM597"/>
    <mergeCell ref="AN595:AN597"/>
    <mergeCell ref="AO595:AO597"/>
    <mergeCell ref="AP595:AP597"/>
    <mergeCell ref="AQ595:AQ597"/>
    <mergeCell ref="AF595:AF597"/>
    <mergeCell ref="AG595:AG597"/>
    <mergeCell ref="AH595:AH597"/>
    <mergeCell ref="AI595:AI597"/>
    <mergeCell ref="AJ595:AJ597"/>
    <mergeCell ref="AK595:AK597"/>
    <mergeCell ref="Q595:Q597"/>
    <mergeCell ref="R595:R597"/>
    <mergeCell ref="S595:S597"/>
    <mergeCell ref="T595:T597"/>
    <mergeCell ref="AD595:AD597"/>
    <mergeCell ref="AE595:AE597"/>
    <mergeCell ref="K595:K597"/>
    <mergeCell ref="L595:L597"/>
    <mergeCell ref="M595:M597"/>
    <mergeCell ref="N601:N603"/>
    <mergeCell ref="O601:O603"/>
    <mergeCell ref="P601:P603"/>
    <mergeCell ref="Q601:Q603"/>
    <mergeCell ref="A601:A603"/>
    <mergeCell ref="C601:C603"/>
    <mergeCell ref="H601:H606"/>
    <mergeCell ref="I601:I606"/>
    <mergeCell ref="J601:J603"/>
    <mergeCell ref="K601:K603"/>
    <mergeCell ref="AN598:AN600"/>
    <mergeCell ref="AO598:AO600"/>
    <mergeCell ref="AP598:AP600"/>
    <mergeCell ref="AQ598:AQ600"/>
    <mergeCell ref="AR598:AR600"/>
    <mergeCell ref="AS598:AS600"/>
    <mergeCell ref="AH598:AH600"/>
    <mergeCell ref="AI598:AI600"/>
    <mergeCell ref="AJ598:AJ600"/>
    <mergeCell ref="AK598:AK600"/>
    <mergeCell ref="AL598:AL600"/>
    <mergeCell ref="AM598:AM600"/>
    <mergeCell ref="S598:S600"/>
    <mergeCell ref="T598:T600"/>
    <mergeCell ref="AD598:AD600"/>
    <mergeCell ref="AE598:AE600"/>
    <mergeCell ref="AF598:AF600"/>
    <mergeCell ref="AG598:AG600"/>
    <mergeCell ref="M598:M600"/>
    <mergeCell ref="N598:N600"/>
    <mergeCell ref="O598:O600"/>
    <mergeCell ref="P598:P600"/>
    <mergeCell ref="AD604:AD606"/>
    <mergeCell ref="AE604:AE606"/>
    <mergeCell ref="AS601:AS603"/>
    <mergeCell ref="A604:A606"/>
    <mergeCell ref="C604:C606"/>
    <mergeCell ref="J604:J606"/>
    <mergeCell ref="K604:K606"/>
    <mergeCell ref="L604:L606"/>
    <mergeCell ref="M604:M606"/>
    <mergeCell ref="N604:N606"/>
    <mergeCell ref="O604:O606"/>
    <mergeCell ref="P604:P606"/>
    <mergeCell ref="AM601:AM603"/>
    <mergeCell ref="AN601:AN603"/>
    <mergeCell ref="AO601:AO603"/>
    <mergeCell ref="AP601:AP603"/>
    <mergeCell ref="AQ601:AQ603"/>
    <mergeCell ref="AR601:AR603"/>
    <mergeCell ref="AG601:AG603"/>
    <mergeCell ref="AH601:AH603"/>
    <mergeCell ref="AI601:AI603"/>
    <mergeCell ref="AJ601:AJ603"/>
    <mergeCell ref="AK601:AK603"/>
    <mergeCell ref="AL601:AL603"/>
    <mergeCell ref="R601:R603"/>
    <mergeCell ref="S601:S603"/>
    <mergeCell ref="T601:T603"/>
    <mergeCell ref="AD601:AD603"/>
    <mergeCell ref="AE601:AE603"/>
    <mergeCell ref="AF601:AF603"/>
    <mergeCell ref="L601:L603"/>
    <mergeCell ref="M601:M603"/>
    <mergeCell ref="M607:M609"/>
    <mergeCell ref="N607:N609"/>
    <mergeCell ref="O607:O609"/>
    <mergeCell ref="P607:P609"/>
    <mergeCell ref="Q607:Q609"/>
    <mergeCell ref="R607:R609"/>
    <mergeCell ref="AR604:AR606"/>
    <mergeCell ref="AS604:AS606"/>
    <mergeCell ref="A607:A609"/>
    <mergeCell ref="B607:B609"/>
    <mergeCell ref="C607:C609"/>
    <mergeCell ref="H607:H609"/>
    <mergeCell ref="I607:I609"/>
    <mergeCell ref="J607:J609"/>
    <mergeCell ref="K607:K609"/>
    <mergeCell ref="L607:L609"/>
    <mergeCell ref="AL604:AL606"/>
    <mergeCell ref="AM604:AM606"/>
    <mergeCell ref="AN604:AN606"/>
    <mergeCell ref="AO604:AO606"/>
    <mergeCell ref="AP604:AP606"/>
    <mergeCell ref="AQ604:AQ606"/>
    <mergeCell ref="AF604:AF606"/>
    <mergeCell ref="AG604:AG606"/>
    <mergeCell ref="AH604:AH606"/>
    <mergeCell ref="AI604:AI606"/>
    <mergeCell ref="AJ604:AJ606"/>
    <mergeCell ref="AK604:AK606"/>
    <mergeCell ref="Q604:Q606"/>
    <mergeCell ref="R604:R606"/>
    <mergeCell ref="S604:S606"/>
    <mergeCell ref="T604:T606"/>
    <mergeCell ref="AN607:AN609"/>
    <mergeCell ref="AO607:AO609"/>
    <mergeCell ref="AP607:AP609"/>
    <mergeCell ref="AQ607:AQ609"/>
    <mergeCell ref="AR607:AR609"/>
    <mergeCell ref="AS607:AS609"/>
    <mergeCell ref="AH607:AH609"/>
    <mergeCell ref="AI607:AI609"/>
    <mergeCell ref="AJ607:AJ609"/>
    <mergeCell ref="AK607:AK609"/>
    <mergeCell ref="AL607:AL609"/>
    <mergeCell ref="AM607:AM609"/>
    <mergeCell ref="S607:S609"/>
    <mergeCell ref="T607:T609"/>
    <mergeCell ref="AD607:AD609"/>
    <mergeCell ref="AE607:AE609"/>
    <mergeCell ref="AF607:AF609"/>
    <mergeCell ref="AG607:AG609"/>
    <mergeCell ref="AO610:AO612"/>
    <mergeCell ref="AP610:AP612"/>
    <mergeCell ref="A610:A612"/>
    <mergeCell ref="B610:B612"/>
    <mergeCell ref="C610:C612"/>
    <mergeCell ref="H610:H612"/>
    <mergeCell ref="I610:I612"/>
    <mergeCell ref="J610:J612"/>
    <mergeCell ref="K610:K612"/>
    <mergeCell ref="L610:L612"/>
    <mergeCell ref="M610:M612"/>
    <mergeCell ref="AQ610:AQ612"/>
    <mergeCell ref="AR610:AR612"/>
    <mergeCell ref="AS610:AS612"/>
    <mergeCell ref="AI610:AI612"/>
    <mergeCell ref="AJ610:AJ612"/>
    <mergeCell ref="AK610:AK612"/>
    <mergeCell ref="AL610:AL612"/>
    <mergeCell ref="AM610:AM612"/>
    <mergeCell ref="AN610:AN612"/>
    <mergeCell ref="T610:T612"/>
    <mergeCell ref="AD610:AD612"/>
    <mergeCell ref="AE610:AE612"/>
    <mergeCell ref="AF610:AF612"/>
    <mergeCell ref="AG610:AG612"/>
    <mergeCell ref="AH610:AH612"/>
    <mergeCell ref="N610:N612"/>
    <mergeCell ref="O610:O612"/>
    <mergeCell ref="P610:P612"/>
    <mergeCell ref="Q610:Q612"/>
    <mergeCell ref="R610:R612"/>
    <mergeCell ref="S610:S612"/>
    <mergeCell ref="R613:R615"/>
    <mergeCell ref="S613:S615"/>
    <mergeCell ref="T613:T615"/>
    <mergeCell ref="AD613:AD615"/>
    <mergeCell ref="AE613:AE615"/>
    <mergeCell ref="K613:K615"/>
    <mergeCell ref="L613:L615"/>
    <mergeCell ref="M613:M615"/>
    <mergeCell ref="N613:N615"/>
    <mergeCell ref="O613:O615"/>
    <mergeCell ref="P613:P615"/>
    <mergeCell ref="A613:A615"/>
    <mergeCell ref="B613:B615"/>
    <mergeCell ref="C613:C615"/>
    <mergeCell ref="H613:H615"/>
    <mergeCell ref="I613:I615"/>
    <mergeCell ref="J613:J615"/>
    <mergeCell ref="N626:N628"/>
    <mergeCell ref="O626:O628"/>
    <mergeCell ref="P626:P628"/>
    <mergeCell ref="Q626:Q628"/>
    <mergeCell ref="D626:D628"/>
    <mergeCell ref="E626:E628"/>
    <mergeCell ref="F626:F628"/>
    <mergeCell ref="G626:G628"/>
    <mergeCell ref="H626:H628"/>
    <mergeCell ref="I626:I628"/>
    <mergeCell ref="Q620:U620"/>
    <mergeCell ref="Q621:U621"/>
    <mergeCell ref="Q622:U622"/>
    <mergeCell ref="D625:AS625"/>
    <mergeCell ref="AR613:AR615"/>
    <mergeCell ref="AS613:AS615"/>
    <mergeCell ref="Q617:U617"/>
    <mergeCell ref="Q618:U618"/>
    <mergeCell ref="Q619:U619"/>
    <mergeCell ref="AL613:AL615"/>
    <mergeCell ref="AM613:AM615"/>
    <mergeCell ref="AN613:AN615"/>
    <mergeCell ref="AO613:AO615"/>
    <mergeCell ref="AP613:AP615"/>
    <mergeCell ref="AQ613:AQ615"/>
    <mergeCell ref="AF613:AF615"/>
    <mergeCell ref="AG613:AG615"/>
    <mergeCell ref="AH613:AH615"/>
    <mergeCell ref="AI613:AI615"/>
    <mergeCell ref="AJ613:AJ615"/>
    <mergeCell ref="AK613:AK615"/>
    <mergeCell ref="Q613:Q615"/>
    <mergeCell ref="J629:J631"/>
    <mergeCell ref="K629:K631"/>
    <mergeCell ref="K644:K646"/>
    <mergeCell ref="L644:L646"/>
    <mergeCell ref="A629:A631"/>
    <mergeCell ref="B629:B631"/>
    <mergeCell ref="C629:C631"/>
    <mergeCell ref="D629:D649"/>
    <mergeCell ref="E629:E649"/>
    <mergeCell ref="F629:F646"/>
    <mergeCell ref="AU626:AX627"/>
    <mergeCell ref="AY626:BB627"/>
    <mergeCell ref="BC626:BC628"/>
    <mergeCell ref="BD626:BD628"/>
    <mergeCell ref="U627:Y627"/>
    <mergeCell ref="Z627:AC627"/>
    <mergeCell ref="AD627:AD628"/>
    <mergeCell ref="AE627:AE628"/>
    <mergeCell ref="AF627:AF628"/>
    <mergeCell ref="AG626:AG628"/>
    <mergeCell ref="AH626:AH628"/>
    <mergeCell ref="AI626:AI628"/>
    <mergeCell ref="AJ626:AM627"/>
    <mergeCell ref="AN626:AS627"/>
    <mergeCell ref="R626:R628"/>
    <mergeCell ref="S626:S628"/>
    <mergeCell ref="T626:T628"/>
    <mergeCell ref="U626:Y626"/>
    <mergeCell ref="Z626:AC626"/>
    <mergeCell ref="AD626:AF626"/>
    <mergeCell ref="J626:J628"/>
    <mergeCell ref="K626:M627"/>
    <mergeCell ref="L632:L634"/>
    <mergeCell ref="AN629:AN631"/>
    <mergeCell ref="AO629:AO631"/>
    <mergeCell ref="AP629:AP631"/>
    <mergeCell ref="AQ629:AQ631"/>
    <mergeCell ref="AR629:AR631"/>
    <mergeCell ref="AS629:AS631"/>
    <mergeCell ref="AH629:AH631"/>
    <mergeCell ref="AI629:AI631"/>
    <mergeCell ref="AJ629:AJ631"/>
    <mergeCell ref="AK629:AK631"/>
    <mergeCell ref="AL629:AL631"/>
    <mergeCell ref="AM629:AM631"/>
    <mergeCell ref="S629:S631"/>
    <mergeCell ref="T629:T631"/>
    <mergeCell ref="AD629:AD640"/>
    <mergeCell ref="AE629:AE640"/>
    <mergeCell ref="AF629:AF640"/>
    <mergeCell ref="AG629:AG640"/>
    <mergeCell ref="S632:S634"/>
    <mergeCell ref="T632:T634"/>
    <mergeCell ref="T635:T637"/>
    <mergeCell ref="M629:M631"/>
    <mergeCell ref="N629:N631"/>
    <mergeCell ref="O629:O631"/>
    <mergeCell ref="P629:P631"/>
    <mergeCell ref="Q629:Q631"/>
    <mergeCell ref="R629:R631"/>
    <mergeCell ref="A635:A637"/>
    <mergeCell ref="B635:B637"/>
    <mergeCell ref="C635:C637"/>
    <mergeCell ref="H635:H637"/>
    <mergeCell ref="I635:I637"/>
    <mergeCell ref="J635:J637"/>
    <mergeCell ref="K635:K637"/>
    <mergeCell ref="L635:L637"/>
    <mergeCell ref="M635:M637"/>
    <mergeCell ref="AN632:AN634"/>
    <mergeCell ref="AO632:AO634"/>
    <mergeCell ref="AP632:AP634"/>
    <mergeCell ref="AQ632:AQ634"/>
    <mergeCell ref="AR632:AR634"/>
    <mergeCell ref="AS632:AS634"/>
    <mergeCell ref="AH632:AH634"/>
    <mergeCell ref="AI632:AI634"/>
    <mergeCell ref="AJ632:AJ634"/>
    <mergeCell ref="AK632:AK634"/>
    <mergeCell ref="AL632:AL634"/>
    <mergeCell ref="AM632:AM634"/>
    <mergeCell ref="M632:M634"/>
    <mergeCell ref="N632:N634"/>
    <mergeCell ref="O632:O634"/>
    <mergeCell ref="P632:P634"/>
    <mergeCell ref="Q632:Q634"/>
    <mergeCell ref="R632:R634"/>
    <mergeCell ref="A632:A634"/>
    <mergeCell ref="B632:B634"/>
    <mergeCell ref="C632:C634"/>
    <mergeCell ref="H632:H634"/>
    <mergeCell ref="I632:I634"/>
    <mergeCell ref="AU637:BB637"/>
    <mergeCell ref="AN635:AN637"/>
    <mergeCell ref="AO635:AO637"/>
    <mergeCell ref="AP635:AP637"/>
    <mergeCell ref="AQ635:AQ637"/>
    <mergeCell ref="AR635:AR637"/>
    <mergeCell ref="AS635:AS637"/>
    <mergeCell ref="AH635:AH637"/>
    <mergeCell ref="AI635:AI637"/>
    <mergeCell ref="AJ635:AJ637"/>
    <mergeCell ref="AK635:AK637"/>
    <mergeCell ref="AL635:AL637"/>
    <mergeCell ref="AM635:AM637"/>
    <mergeCell ref="N635:N637"/>
    <mergeCell ref="O635:O637"/>
    <mergeCell ref="P635:P637"/>
    <mergeCell ref="Q635:Q637"/>
    <mergeCell ref="R635:R637"/>
    <mergeCell ref="S635:S637"/>
    <mergeCell ref="AR638:AR640"/>
    <mergeCell ref="AS638:AS640"/>
    <mergeCell ref="AH638:AH640"/>
    <mergeCell ref="AI638:AI640"/>
    <mergeCell ref="AJ638:AJ640"/>
    <mergeCell ref="AK638:AK640"/>
    <mergeCell ref="AL638:AL640"/>
    <mergeCell ref="AM638:AM640"/>
    <mergeCell ref="O638:O640"/>
    <mergeCell ref="P638:P640"/>
    <mergeCell ref="Q638:Q640"/>
    <mergeCell ref="R638:R640"/>
    <mergeCell ref="S638:S640"/>
    <mergeCell ref="T638:T640"/>
    <mergeCell ref="AP641:AP643"/>
    <mergeCell ref="AQ641:AQ643"/>
    <mergeCell ref="AR641:AR643"/>
    <mergeCell ref="AS641:AS643"/>
    <mergeCell ref="B641:B643"/>
    <mergeCell ref="C641:C643"/>
    <mergeCell ref="H641:H643"/>
    <mergeCell ref="I641:I643"/>
    <mergeCell ref="K647:K649"/>
    <mergeCell ref="L647:L649"/>
    <mergeCell ref="M647:M649"/>
    <mergeCell ref="N647:N649"/>
    <mergeCell ref="J641:J643"/>
    <mergeCell ref="K641:K643"/>
    <mergeCell ref="L641:L643"/>
    <mergeCell ref="M641:M643"/>
    <mergeCell ref="N641:N643"/>
    <mergeCell ref="AN638:AN640"/>
    <mergeCell ref="AO638:AO640"/>
    <mergeCell ref="AP638:AP640"/>
    <mergeCell ref="AQ638:AQ640"/>
    <mergeCell ref="B638:B640"/>
    <mergeCell ref="C638:C640"/>
    <mergeCell ref="H638:H640"/>
    <mergeCell ref="I638:I640"/>
    <mergeCell ref="J638:J640"/>
    <mergeCell ref="K638:K640"/>
    <mergeCell ref="L638:L640"/>
    <mergeCell ref="M638:M640"/>
    <mergeCell ref="N638:N640"/>
    <mergeCell ref="G629:G646"/>
    <mergeCell ref="H629:H631"/>
    <mergeCell ref="I629:I631"/>
    <mergeCell ref="L629:L631"/>
    <mergeCell ref="J632:J634"/>
    <mergeCell ref="K632:K634"/>
    <mergeCell ref="J644:J646"/>
    <mergeCell ref="AJ641:AJ643"/>
    <mergeCell ref="AK641:AK643"/>
    <mergeCell ref="AL641:AL643"/>
    <mergeCell ref="AM641:AM643"/>
    <mergeCell ref="AN641:AN643"/>
    <mergeCell ref="AO641:AO643"/>
    <mergeCell ref="AD641:AD649"/>
    <mergeCell ref="AE641:AE649"/>
    <mergeCell ref="AF641:AF649"/>
    <mergeCell ref="AG641:AG649"/>
    <mergeCell ref="AH641:AH643"/>
    <mergeCell ref="AI641:AI643"/>
    <mergeCell ref="AI647:AI649"/>
    <mergeCell ref="O641:O643"/>
    <mergeCell ref="P641:P643"/>
    <mergeCell ref="Q641:Q643"/>
    <mergeCell ref="R641:R643"/>
    <mergeCell ref="S641:S643"/>
    <mergeCell ref="T641:T643"/>
    <mergeCell ref="O647:O649"/>
    <mergeCell ref="AR644:AR646"/>
    <mergeCell ref="AS644:AS646"/>
    <mergeCell ref="A647:A649"/>
    <mergeCell ref="B647:B649"/>
    <mergeCell ref="C647:C649"/>
    <mergeCell ref="F647:F649"/>
    <mergeCell ref="G647:G649"/>
    <mergeCell ref="H647:H649"/>
    <mergeCell ref="I647:I649"/>
    <mergeCell ref="AL644:AL646"/>
    <mergeCell ref="AM644:AM646"/>
    <mergeCell ref="AN644:AN646"/>
    <mergeCell ref="AO644:AO646"/>
    <mergeCell ref="AP644:AP646"/>
    <mergeCell ref="AQ644:AQ646"/>
    <mergeCell ref="S644:S646"/>
    <mergeCell ref="T644:T646"/>
    <mergeCell ref="AH644:AH646"/>
    <mergeCell ref="AI644:AI646"/>
    <mergeCell ref="AJ644:AJ646"/>
    <mergeCell ref="AK644:AK646"/>
    <mergeCell ref="M644:M646"/>
    <mergeCell ref="N644:N646"/>
    <mergeCell ref="O644:O646"/>
    <mergeCell ref="P644:P646"/>
    <mergeCell ref="Q644:Q646"/>
    <mergeCell ref="R644:R646"/>
    <mergeCell ref="B644:B646"/>
    <mergeCell ref="C644:C646"/>
    <mergeCell ref="H644:H646"/>
    <mergeCell ref="I644:I646"/>
    <mergeCell ref="D660:D662"/>
    <mergeCell ref="E660:E662"/>
    <mergeCell ref="F660:F662"/>
    <mergeCell ref="G660:G662"/>
    <mergeCell ref="H660:H662"/>
    <mergeCell ref="I660:I662"/>
    <mergeCell ref="J660:J662"/>
    <mergeCell ref="K660:M661"/>
    <mergeCell ref="Q652:U652"/>
    <mergeCell ref="Q653:U653"/>
    <mergeCell ref="Q654:U654"/>
    <mergeCell ref="Q655:U655"/>
    <mergeCell ref="Q656:U656"/>
    <mergeCell ref="D659:AS659"/>
    <mergeCell ref="AP647:AP649"/>
    <mergeCell ref="AQ647:AQ649"/>
    <mergeCell ref="AR647:AR649"/>
    <mergeCell ref="AS647:AS649"/>
    <mergeCell ref="Q651:U651"/>
    <mergeCell ref="AJ647:AJ649"/>
    <mergeCell ref="AK647:AK649"/>
    <mergeCell ref="AL647:AL649"/>
    <mergeCell ref="AM647:AM649"/>
    <mergeCell ref="AN647:AN649"/>
    <mergeCell ref="AO647:AO649"/>
    <mergeCell ref="P647:P649"/>
    <mergeCell ref="Q647:Q649"/>
    <mergeCell ref="R647:R649"/>
    <mergeCell ref="S647:S649"/>
    <mergeCell ref="T647:T649"/>
    <mergeCell ref="AH647:AH649"/>
    <mergeCell ref="J647:J649"/>
    <mergeCell ref="U661:Y661"/>
    <mergeCell ref="Z661:AC661"/>
    <mergeCell ref="AD661:AD662"/>
    <mergeCell ref="AE661:AE662"/>
    <mergeCell ref="AF661:AF662"/>
    <mergeCell ref="AI660:AI662"/>
    <mergeCell ref="AJ660:AM661"/>
    <mergeCell ref="AN660:AS661"/>
    <mergeCell ref="T660:T662"/>
    <mergeCell ref="U660:Y660"/>
    <mergeCell ref="Z660:AC660"/>
    <mergeCell ref="AD660:AF660"/>
    <mergeCell ref="AG660:AG662"/>
    <mergeCell ref="AH660:AH662"/>
    <mergeCell ref="N660:N662"/>
    <mergeCell ref="O660:O662"/>
    <mergeCell ref="P660:P662"/>
    <mergeCell ref="Q660:Q662"/>
    <mergeCell ref="R660:R662"/>
    <mergeCell ref="S660:S662"/>
    <mergeCell ref="Q663:Q665"/>
    <mergeCell ref="R663:R665"/>
    <mergeCell ref="G663:G668"/>
    <mergeCell ref="H663:H665"/>
    <mergeCell ref="I663:I665"/>
    <mergeCell ref="J663:J665"/>
    <mergeCell ref="K663:K665"/>
    <mergeCell ref="L663:L665"/>
    <mergeCell ref="A663:A665"/>
    <mergeCell ref="B663:B665"/>
    <mergeCell ref="C663:C665"/>
    <mergeCell ref="D663:D668"/>
    <mergeCell ref="E663:E668"/>
    <mergeCell ref="F663:F668"/>
    <mergeCell ref="N666:N668"/>
    <mergeCell ref="O666:O668"/>
    <mergeCell ref="P666:P668"/>
    <mergeCell ref="Q666:Q668"/>
    <mergeCell ref="R666:R668"/>
    <mergeCell ref="BC663:BC668"/>
    <mergeCell ref="BD663:BD668"/>
    <mergeCell ref="A666:A668"/>
    <mergeCell ref="B666:B668"/>
    <mergeCell ref="C666:C668"/>
    <mergeCell ref="H666:H668"/>
    <mergeCell ref="I666:I668"/>
    <mergeCell ref="J666:J668"/>
    <mergeCell ref="K666:K668"/>
    <mergeCell ref="L666:L668"/>
    <mergeCell ref="AN663:AN665"/>
    <mergeCell ref="AO663:AO665"/>
    <mergeCell ref="AP663:AP665"/>
    <mergeCell ref="AQ663:AQ665"/>
    <mergeCell ref="AR663:AR665"/>
    <mergeCell ref="AS663:AS665"/>
    <mergeCell ref="AH663:AH665"/>
    <mergeCell ref="AI663:AI665"/>
    <mergeCell ref="AJ663:AJ665"/>
    <mergeCell ref="AK663:AK665"/>
    <mergeCell ref="AL663:AL665"/>
    <mergeCell ref="AM663:AM665"/>
    <mergeCell ref="S663:S665"/>
    <mergeCell ref="T663:T665"/>
    <mergeCell ref="AD663:AD665"/>
    <mergeCell ref="AE663:AE665"/>
    <mergeCell ref="AF663:AF665"/>
    <mergeCell ref="AG663:AG665"/>
    <mergeCell ref="M663:M665"/>
    <mergeCell ref="N663:N665"/>
    <mergeCell ref="O663:O665"/>
    <mergeCell ref="P663:P665"/>
    <mergeCell ref="D680:AS680"/>
    <mergeCell ref="D681:D683"/>
    <mergeCell ref="E681:E683"/>
    <mergeCell ref="F681:F683"/>
    <mergeCell ref="G681:G683"/>
    <mergeCell ref="H681:H683"/>
    <mergeCell ref="I681:I683"/>
    <mergeCell ref="J681:J683"/>
    <mergeCell ref="Q672:U672"/>
    <mergeCell ref="Q673:U673"/>
    <mergeCell ref="Q674:U674"/>
    <mergeCell ref="Q675:U675"/>
    <mergeCell ref="D677:AS677"/>
    <mergeCell ref="AN666:AN668"/>
    <mergeCell ref="AQ666:AQ668"/>
    <mergeCell ref="AR666:AR668"/>
    <mergeCell ref="AS666:AS668"/>
    <mergeCell ref="Q670:U670"/>
    <mergeCell ref="Q671:U671"/>
    <mergeCell ref="AH666:AH668"/>
    <mergeCell ref="AI666:AI668"/>
    <mergeCell ref="AJ666:AJ668"/>
    <mergeCell ref="AK666:AK668"/>
    <mergeCell ref="AL666:AL668"/>
    <mergeCell ref="AM666:AM668"/>
    <mergeCell ref="S666:S668"/>
    <mergeCell ref="T666:T668"/>
    <mergeCell ref="AD666:AD668"/>
    <mergeCell ref="AE666:AE668"/>
    <mergeCell ref="AF666:AF668"/>
    <mergeCell ref="AG666:AG668"/>
    <mergeCell ref="M666:M668"/>
    <mergeCell ref="U682:Y682"/>
    <mergeCell ref="Z682:AC682"/>
    <mergeCell ref="AD682:AD683"/>
    <mergeCell ref="AE682:AE683"/>
    <mergeCell ref="AF682:AF683"/>
    <mergeCell ref="AT681:AT683"/>
    <mergeCell ref="AH681:AH683"/>
    <mergeCell ref="AI681:AI683"/>
    <mergeCell ref="AJ681:AM682"/>
    <mergeCell ref="AN681:AS682"/>
    <mergeCell ref="S681:S683"/>
    <mergeCell ref="T681:T683"/>
    <mergeCell ref="U681:Y681"/>
    <mergeCell ref="Z681:AC681"/>
    <mergeCell ref="AD681:AF681"/>
    <mergeCell ref="AG681:AG683"/>
    <mergeCell ref="K681:M682"/>
    <mergeCell ref="N681:N683"/>
    <mergeCell ref="O681:O683"/>
    <mergeCell ref="P681:P683"/>
    <mergeCell ref="Q681:Q683"/>
    <mergeCell ref="R681:R683"/>
    <mergeCell ref="M684:M686"/>
    <mergeCell ref="N684:N686"/>
    <mergeCell ref="O684:O686"/>
    <mergeCell ref="P684:P686"/>
    <mergeCell ref="Q684:Q686"/>
    <mergeCell ref="R684:R686"/>
    <mergeCell ref="G684:G698"/>
    <mergeCell ref="H684:H692"/>
    <mergeCell ref="I684:I692"/>
    <mergeCell ref="J684:J686"/>
    <mergeCell ref="K684:K686"/>
    <mergeCell ref="L684:L686"/>
    <mergeCell ref="H693:H695"/>
    <mergeCell ref="I693:I695"/>
    <mergeCell ref="J693:J695"/>
    <mergeCell ref="K693:K695"/>
    <mergeCell ref="A684:A686"/>
    <mergeCell ref="B684:B686"/>
    <mergeCell ref="C684:C686"/>
    <mergeCell ref="D684:D710"/>
    <mergeCell ref="E684:E710"/>
    <mergeCell ref="F684:F698"/>
    <mergeCell ref="B693:B695"/>
    <mergeCell ref="C693:C695"/>
    <mergeCell ref="A690:A692"/>
    <mergeCell ref="B690:B692"/>
    <mergeCell ref="C690:C692"/>
    <mergeCell ref="J690:J692"/>
    <mergeCell ref="K690:K692"/>
    <mergeCell ref="L690:L692"/>
    <mergeCell ref="M690:M692"/>
    <mergeCell ref="N690:N692"/>
    <mergeCell ref="AN684:AN686"/>
    <mergeCell ref="AO684:AO686"/>
    <mergeCell ref="AP684:AP686"/>
    <mergeCell ref="AQ684:AQ686"/>
    <mergeCell ref="AR684:AR686"/>
    <mergeCell ref="AS684:AS686"/>
    <mergeCell ref="AH684:AH698"/>
    <mergeCell ref="AI684:AI698"/>
    <mergeCell ref="AJ684:AJ686"/>
    <mergeCell ref="AK684:AK686"/>
    <mergeCell ref="AL684:AL686"/>
    <mergeCell ref="AM684:AM686"/>
    <mergeCell ref="AJ687:AJ689"/>
    <mergeCell ref="AK687:AK689"/>
    <mergeCell ref="AL687:AL689"/>
    <mergeCell ref="AM687:AM689"/>
    <mergeCell ref="S684:S686"/>
    <mergeCell ref="T684:T686"/>
    <mergeCell ref="AD684:AD698"/>
    <mergeCell ref="AE684:AE698"/>
    <mergeCell ref="AF684:AF698"/>
    <mergeCell ref="AG684:AG698"/>
    <mergeCell ref="AN687:AN689"/>
    <mergeCell ref="AO687:AO689"/>
    <mergeCell ref="AP687:AP689"/>
    <mergeCell ref="AQ687:AQ689"/>
    <mergeCell ref="AR687:AR689"/>
    <mergeCell ref="AS687:AS689"/>
    <mergeCell ref="AS690:AS692"/>
    <mergeCell ref="S687:S689"/>
    <mergeCell ref="T687:T689"/>
    <mergeCell ref="A687:A689"/>
    <mergeCell ref="B687:B689"/>
    <mergeCell ref="C687:C689"/>
    <mergeCell ref="J687:J689"/>
    <mergeCell ref="K687:K689"/>
    <mergeCell ref="L687:L689"/>
    <mergeCell ref="M687:M689"/>
    <mergeCell ref="N687:N689"/>
    <mergeCell ref="AP690:AP692"/>
    <mergeCell ref="AQ690:AQ692"/>
    <mergeCell ref="AR690:AR692"/>
    <mergeCell ref="AJ690:AJ692"/>
    <mergeCell ref="AK690:AK692"/>
    <mergeCell ref="AL690:AL692"/>
    <mergeCell ref="AM690:AM692"/>
    <mergeCell ref="AN690:AN692"/>
    <mergeCell ref="AO690:AO692"/>
    <mergeCell ref="O690:O692"/>
    <mergeCell ref="P690:P692"/>
    <mergeCell ref="Q690:Q692"/>
    <mergeCell ref="R690:R692"/>
    <mergeCell ref="S690:S692"/>
    <mergeCell ref="T690:T692"/>
    <mergeCell ref="AU688:BB688"/>
    <mergeCell ref="AU689:BB689"/>
    <mergeCell ref="AS693:AS695"/>
    <mergeCell ref="A696:A698"/>
    <mergeCell ref="B696:B698"/>
    <mergeCell ref="C696:C698"/>
    <mergeCell ref="H696:H698"/>
    <mergeCell ref="I696:I698"/>
    <mergeCell ref="J696:J698"/>
    <mergeCell ref="K696:K698"/>
    <mergeCell ref="AM693:AM695"/>
    <mergeCell ref="AN693:AN695"/>
    <mergeCell ref="AO693:AO695"/>
    <mergeCell ref="AP693:AP695"/>
    <mergeCell ref="AQ693:AQ695"/>
    <mergeCell ref="AR693:AR695"/>
    <mergeCell ref="R693:R695"/>
    <mergeCell ref="S693:S695"/>
    <mergeCell ref="T693:T695"/>
    <mergeCell ref="AJ693:AJ695"/>
    <mergeCell ref="AK693:AK695"/>
    <mergeCell ref="AL693:AL695"/>
    <mergeCell ref="L693:L695"/>
    <mergeCell ref="M693:M695"/>
    <mergeCell ref="N693:N695"/>
    <mergeCell ref="O693:O695"/>
    <mergeCell ref="P693:P695"/>
    <mergeCell ref="Q693:Q695"/>
    <mergeCell ref="O687:O689"/>
    <mergeCell ref="P687:P689"/>
    <mergeCell ref="Q687:Q689"/>
    <mergeCell ref="R687:R689"/>
    <mergeCell ref="L699:L701"/>
    <mergeCell ref="M699:M701"/>
    <mergeCell ref="N699:N701"/>
    <mergeCell ref="O699:O701"/>
    <mergeCell ref="P699:P701"/>
    <mergeCell ref="AS696:AS698"/>
    <mergeCell ref="B699:B701"/>
    <mergeCell ref="C699:C701"/>
    <mergeCell ref="F699:F707"/>
    <mergeCell ref="G699:G707"/>
    <mergeCell ref="H699:H704"/>
    <mergeCell ref="I699:I704"/>
    <mergeCell ref="J699:J701"/>
    <mergeCell ref="AM696:AM698"/>
    <mergeCell ref="AN696:AN698"/>
    <mergeCell ref="AO696:AO698"/>
    <mergeCell ref="AP696:AP698"/>
    <mergeCell ref="AQ696:AQ698"/>
    <mergeCell ref="AR696:AR698"/>
    <mergeCell ref="R696:R698"/>
    <mergeCell ref="S696:S698"/>
    <mergeCell ref="T696:T698"/>
    <mergeCell ref="AJ696:AJ698"/>
    <mergeCell ref="AK696:AK698"/>
    <mergeCell ref="AL696:AL698"/>
    <mergeCell ref="L696:L698"/>
    <mergeCell ref="M696:M698"/>
    <mergeCell ref="N696:N698"/>
    <mergeCell ref="O696:O698"/>
    <mergeCell ref="P696:P698"/>
    <mergeCell ref="Q696:Q698"/>
    <mergeCell ref="AR699:AR701"/>
    <mergeCell ref="AS699:AS701"/>
    <mergeCell ref="A702:A704"/>
    <mergeCell ref="B702:B704"/>
    <mergeCell ref="C702:C704"/>
    <mergeCell ref="J702:J704"/>
    <mergeCell ref="K702:K704"/>
    <mergeCell ref="L702:L704"/>
    <mergeCell ref="M702:M704"/>
    <mergeCell ref="AL699:AL701"/>
    <mergeCell ref="AM699:AM701"/>
    <mergeCell ref="AN699:AN701"/>
    <mergeCell ref="AO699:AO701"/>
    <mergeCell ref="AP699:AP701"/>
    <mergeCell ref="AQ699:AQ701"/>
    <mergeCell ref="AF699:AF701"/>
    <mergeCell ref="AG699:AG701"/>
    <mergeCell ref="AH699:AH710"/>
    <mergeCell ref="AI699:AI710"/>
    <mergeCell ref="AJ699:AJ701"/>
    <mergeCell ref="AK699:AK701"/>
    <mergeCell ref="AK702:AK704"/>
    <mergeCell ref="AG705:AG707"/>
    <mergeCell ref="AJ705:AJ707"/>
    <mergeCell ref="AK705:AK707"/>
    <mergeCell ref="Q699:Q701"/>
    <mergeCell ref="R699:R701"/>
    <mergeCell ref="S699:S701"/>
    <mergeCell ref="T699:T701"/>
    <mergeCell ref="AD699:AD701"/>
    <mergeCell ref="AE699:AE701"/>
    <mergeCell ref="K699:K701"/>
    <mergeCell ref="L705:L707"/>
    <mergeCell ref="M705:M707"/>
    <mergeCell ref="N705:N707"/>
    <mergeCell ref="O705:O707"/>
    <mergeCell ref="P705:P707"/>
    <mergeCell ref="Q705:Q707"/>
    <mergeCell ref="AR702:AR704"/>
    <mergeCell ref="AS702:AS704"/>
    <mergeCell ref="B705:B707"/>
    <mergeCell ref="C705:C707"/>
    <mergeCell ref="H705:H707"/>
    <mergeCell ref="I705:I707"/>
    <mergeCell ref="J705:J707"/>
    <mergeCell ref="K705:K707"/>
    <mergeCell ref="AL702:AL704"/>
    <mergeCell ref="AM702:AM704"/>
    <mergeCell ref="AN702:AN704"/>
    <mergeCell ref="AO702:AO704"/>
    <mergeCell ref="AP702:AP704"/>
    <mergeCell ref="AQ702:AQ704"/>
    <mergeCell ref="T702:T704"/>
    <mergeCell ref="AD702:AD704"/>
    <mergeCell ref="AE702:AE704"/>
    <mergeCell ref="AF702:AF704"/>
    <mergeCell ref="AG702:AG704"/>
    <mergeCell ref="AJ702:AJ704"/>
    <mergeCell ref="N702:N704"/>
    <mergeCell ref="O702:O704"/>
    <mergeCell ref="P702:P704"/>
    <mergeCell ref="Q702:Q704"/>
    <mergeCell ref="R702:R704"/>
    <mergeCell ref="S702:S704"/>
    <mergeCell ref="P708:P710"/>
    <mergeCell ref="Q708:Q710"/>
    <mergeCell ref="R708:R710"/>
    <mergeCell ref="S708:S710"/>
    <mergeCell ref="T708:T710"/>
    <mergeCell ref="AD708:AD710"/>
    <mergeCell ref="J708:J710"/>
    <mergeCell ref="K708:K710"/>
    <mergeCell ref="L708:L710"/>
    <mergeCell ref="M708:M710"/>
    <mergeCell ref="N708:N710"/>
    <mergeCell ref="O708:O710"/>
    <mergeCell ref="AR705:AR707"/>
    <mergeCell ref="AS705:AS707"/>
    <mergeCell ref="B708:B710"/>
    <mergeCell ref="C708:C710"/>
    <mergeCell ref="F708:F710"/>
    <mergeCell ref="G708:G710"/>
    <mergeCell ref="H708:H710"/>
    <mergeCell ref="I708:I710"/>
    <mergeCell ref="AL705:AL707"/>
    <mergeCell ref="AM705:AM707"/>
    <mergeCell ref="AN705:AN707"/>
    <mergeCell ref="AO705:AO707"/>
    <mergeCell ref="AP705:AP707"/>
    <mergeCell ref="AQ705:AQ707"/>
    <mergeCell ref="R705:R707"/>
    <mergeCell ref="S705:S707"/>
    <mergeCell ref="T705:T707"/>
    <mergeCell ref="AD705:AD707"/>
    <mergeCell ref="AE705:AE707"/>
    <mergeCell ref="AF705:AF707"/>
    <mergeCell ref="Z727:AC727"/>
    <mergeCell ref="Q730:Q732"/>
    <mergeCell ref="R730:S730"/>
    <mergeCell ref="R731:S731"/>
    <mergeCell ref="R732:S732"/>
    <mergeCell ref="Q717:U717"/>
    <mergeCell ref="Q719:U719"/>
    <mergeCell ref="Q720:U720"/>
    <mergeCell ref="Q721:U721"/>
    <mergeCell ref="Q722:U722"/>
    <mergeCell ref="Q723:U723"/>
    <mergeCell ref="AS708:AS710"/>
    <mergeCell ref="Q712:U712"/>
    <mergeCell ref="Q713:U713"/>
    <mergeCell ref="Q714:U714"/>
    <mergeCell ref="Q715:U715"/>
    <mergeCell ref="Q716:U716"/>
    <mergeCell ref="AM708:AM710"/>
    <mergeCell ref="AN708:AN710"/>
    <mergeCell ref="AO708:AO710"/>
    <mergeCell ref="AP708:AP710"/>
    <mergeCell ref="AQ708:AQ710"/>
    <mergeCell ref="AR708:AR710"/>
    <mergeCell ref="AE708:AE710"/>
    <mergeCell ref="AF708:AF710"/>
    <mergeCell ref="AG708:AG710"/>
    <mergeCell ref="AJ708:AJ710"/>
    <mergeCell ref="AK708:AK710"/>
    <mergeCell ref="AL708:AL710"/>
    <mergeCell ref="U739:U742"/>
    <mergeCell ref="R740:S740"/>
    <mergeCell ref="Q741:Q742"/>
    <mergeCell ref="R741:S741"/>
    <mergeCell ref="T741:T742"/>
    <mergeCell ref="R742:S742"/>
    <mergeCell ref="Q733:Q735"/>
    <mergeCell ref="R733:S733"/>
    <mergeCell ref="R734:S734"/>
    <mergeCell ref="R735:S735"/>
    <mergeCell ref="Q736:Q738"/>
    <mergeCell ref="R736:S736"/>
    <mergeCell ref="R737:S737"/>
    <mergeCell ref="R738:S738"/>
    <mergeCell ref="Q724:U724"/>
    <mergeCell ref="U727:U728"/>
    <mergeCell ref="V727:Y727"/>
    <mergeCell ref="AU706:BB706"/>
    <mergeCell ref="AU704:BB704"/>
    <mergeCell ref="AU703:BB703"/>
    <mergeCell ref="AU701:BB701"/>
    <mergeCell ref="AU698:BB698"/>
    <mergeCell ref="Q759:Q760"/>
    <mergeCell ref="R759:S759"/>
    <mergeCell ref="T759:T760"/>
    <mergeCell ref="U759:U762"/>
    <mergeCell ref="R760:S760"/>
    <mergeCell ref="Q761:Q762"/>
    <mergeCell ref="R761:S761"/>
    <mergeCell ref="T761:T762"/>
    <mergeCell ref="R762:S762"/>
    <mergeCell ref="Q753:Q755"/>
    <mergeCell ref="R753:S753"/>
    <mergeCell ref="R754:S754"/>
    <mergeCell ref="R755:S755"/>
    <mergeCell ref="Q756:Q758"/>
    <mergeCell ref="R756:S756"/>
    <mergeCell ref="R757:S757"/>
    <mergeCell ref="R758:S758"/>
    <mergeCell ref="U747:U748"/>
    <mergeCell ref="V747:Y747"/>
    <mergeCell ref="Z747:AC747"/>
    <mergeCell ref="Q750:Q752"/>
    <mergeCell ref="R750:S750"/>
    <mergeCell ref="R751:S751"/>
    <mergeCell ref="R752:S752"/>
    <mergeCell ref="Q739:Q740"/>
    <mergeCell ref="R739:S739"/>
    <mergeCell ref="T739:T740"/>
    <mergeCell ref="AU649:BB649"/>
    <mergeCell ref="AU646:BB646"/>
    <mergeCell ref="AU643:BB643"/>
    <mergeCell ref="AT626:AT628"/>
    <mergeCell ref="BC625:BD625"/>
    <mergeCell ref="AT625:BB625"/>
    <mergeCell ref="BC680:BD680"/>
    <mergeCell ref="AT680:BB680"/>
    <mergeCell ref="AT677:BD677"/>
    <mergeCell ref="AY660:BB661"/>
    <mergeCell ref="AU660:AX661"/>
    <mergeCell ref="AT660:AT662"/>
    <mergeCell ref="AU697:BB697"/>
    <mergeCell ref="AU695:BB695"/>
    <mergeCell ref="AU694:BB694"/>
    <mergeCell ref="AU692:BB692"/>
    <mergeCell ref="AU691:BB691"/>
    <mergeCell ref="AU681:AX682"/>
    <mergeCell ref="BC684:BC709"/>
    <mergeCell ref="BD684:BD709"/>
    <mergeCell ref="AY681:BB682"/>
    <mergeCell ref="BC681:BC683"/>
    <mergeCell ref="BD681:BD683"/>
    <mergeCell ref="BC660:BC662"/>
    <mergeCell ref="BD660:BD662"/>
    <mergeCell ref="AT659:BB659"/>
    <mergeCell ref="BC659:BD659"/>
    <mergeCell ref="AU640:BB640"/>
    <mergeCell ref="AU634:BB634"/>
    <mergeCell ref="BC629:BC649"/>
    <mergeCell ref="BD629:BD649"/>
    <mergeCell ref="AU707:BB707"/>
    <mergeCell ref="AU518:BB518"/>
    <mergeCell ref="AU512:BB512"/>
    <mergeCell ref="AU511:BB511"/>
    <mergeCell ref="BC482:BD482"/>
    <mergeCell ref="AT482:BB482"/>
    <mergeCell ref="AU469:BB469"/>
    <mergeCell ref="BC531:BC536"/>
    <mergeCell ref="AU530:BB530"/>
    <mergeCell ref="AU527:BB527"/>
    <mergeCell ref="AU526:BB526"/>
    <mergeCell ref="AU524:BB524"/>
    <mergeCell ref="AU523:BB523"/>
    <mergeCell ref="AU555:BB555"/>
    <mergeCell ref="AU554:BB554"/>
    <mergeCell ref="BD550:BD615"/>
    <mergeCell ref="BC550:BC615"/>
    <mergeCell ref="AT547:AT549"/>
    <mergeCell ref="BC546:BD546"/>
    <mergeCell ref="AT546:BB546"/>
    <mergeCell ref="AU567:BB567"/>
    <mergeCell ref="AU566:BB566"/>
    <mergeCell ref="AU564:BB564"/>
    <mergeCell ref="AU563:BB563"/>
    <mergeCell ref="AU561:BB561"/>
    <mergeCell ref="AU560:BB560"/>
    <mergeCell ref="AU615:BB615"/>
    <mergeCell ref="AU612:BB612"/>
    <mergeCell ref="AU597:BB597"/>
    <mergeCell ref="AU582:BB582"/>
    <mergeCell ref="AU570:BB570"/>
    <mergeCell ref="AU569:BB569"/>
    <mergeCell ref="AU609:BB609"/>
    <mergeCell ref="AU423:BB423"/>
    <mergeCell ref="AU420:BB420"/>
    <mergeCell ref="AU419:BB419"/>
    <mergeCell ref="AU417:BB417"/>
    <mergeCell ref="AU416:BB416"/>
    <mergeCell ref="AU414:BB414"/>
    <mergeCell ref="BC448:BD448"/>
    <mergeCell ref="AT448:BB448"/>
    <mergeCell ref="AU438:BB438"/>
    <mergeCell ref="AU435:BB435"/>
    <mergeCell ref="BC430:BC438"/>
    <mergeCell ref="AU429:BB429"/>
    <mergeCell ref="AU468:BB468"/>
    <mergeCell ref="AU463:BB463"/>
    <mergeCell ref="AU460:BB460"/>
    <mergeCell ref="AU457:BB457"/>
    <mergeCell ref="AU449:AX450"/>
    <mergeCell ref="AT449:AT451"/>
    <mergeCell ref="AU426:BB426"/>
    <mergeCell ref="BC452:BC472"/>
    <mergeCell ref="BD452:BD472"/>
    <mergeCell ref="AY449:BB450"/>
    <mergeCell ref="BC449:BC451"/>
    <mergeCell ref="BD449:BD451"/>
    <mergeCell ref="BC409:BC429"/>
    <mergeCell ref="BD409:BD438"/>
    <mergeCell ref="AU380:BB380"/>
    <mergeCell ref="AU379:BB379"/>
    <mergeCell ref="AU377:BB377"/>
    <mergeCell ref="AU376:BB376"/>
    <mergeCell ref="BD372:BD395"/>
    <mergeCell ref="BC372:BC395"/>
    <mergeCell ref="AU389:BB389"/>
    <mergeCell ref="AU388:BB388"/>
    <mergeCell ref="AU386:BB386"/>
    <mergeCell ref="AU385:BB385"/>
    <mergeCell ref="AU383:BB383"/>
    <mergeCell ref="AU382:BB382"/>
    <mergeCell ref="AU413:BB413"/>
    <mergeCell ref="AT406:AT408"/>
    <mergeCell ref="BC405:BD405"/>
    <mergeCell ref="AT405:BB405"/>
    <mergeCell ref="AU395:BB395"/>
    <mergeCell ref="AU392:BB392"/>
    <mergeCell ref="AU406:AX407"/>
    <mergeCell ref="AY406:BB407"/>
    <mergeCell ref="BC406:BC408"/>
    <mergeCell ref="BD406:BD408"/>
    <mergeCell ref="AT310:BB310"/>
    <mergeCell ref="BC289:BC291"/>
    <mergeCell ref="AU285:BB285"/>
    <mergeCell ref="AU282:BB282"/>
    <mergeCell ref="AU279:BB279"/>
    <mergeCell ref="AU276:BB276"/>
    <mergeCell ref="BC332:BD332"/>
    <mergeCell ref="AT332:BB332"/>
    <mergeCell ref="AU322:BB322"/>
    <mergeCell ref="AU321:BB321"/>
    <mergeCell ref="BC311:BC313"/>
    <mergeCell ref="AY311:BB312"/>
    <mergeCell ref="AU311:AX312"/>
    <mergeCell ref="AT311:AT313"/>
    <mergeCell ref="AU353:BB353"/>
    <mergeCell ref="AU352:BB352"/>
    <mergeCell ref="AU347:BB347"/>
    <mergeCell ref="BC342:BC347"/>
    <mergeCell ref="AU341:BB341"/>
    <mergeCell ref="AU340:BB340"/>
    <mergeCell ref="AU333:AX334"/>
    <mergeCell ref="AY333:BB334"/>
    <mergeCell ref="BC333:BC335"/>
    <mergeCell ref="BD333:BD335"/>
    <mergeCell ref="BC314:BC322"/>
    <mergeCell ref="BD314:BD322"/>
    <mergeCell ref="BD311:BD313"/>
    <mergeCell ref="BC310:BD310"/>
    <mergeCell ref="BC348:BC356"/>
    <mergeCell ref="AU318:BB318"/>
    <mergeCell ref="AU319:BB319"/>
    <mergeCell ref="AT333:AT335"/>
    <mergeCell ref="BC203:BD203"/>
    <mergeCell ref="AT203:BB203"/>
    <mergeCell ref="AU193:BB193"/>
    <mergeCell ref="AU190:BB190"/>
    <mergeCell ref="BC185:BC190"/>
    <mergeCell ref="AU184:BB184"/>
    <mergeCell ref="AU238:BB238"/>
    <mergeCell ref="AU221:BB221"/>
    <mergeCell ref="AU220:BB220"/>
    <mergeCell ref="AU215:BB215"/>
    <mergeCell ref="AU212:BB212"/>
    <mergeCell ref="AU204:AX205"/>
    <mergeCell ref="AT264:BB264"/>
    <mergeCell ref="BC252:BC254"/>
    <mergeCell ref="AU251:BB251"/>
    <mergeCell ref="AU248:BB248"/>
    <mergeCell ref="BC243:BC251"/>
    <mergeCell ref="AU239:BB239"/>
    <mergeCell ref="BC240:BC242"/>
    <mergeCell ref="AU235:BB235"/>
    <mergeCell ref="AU236:BB236"/>
    <mergeCell ref="AU232:BB232"/>
    <mergeCell ref="AU233:BB233"/>
    <mergeCell ref="AU229:BB229"/>
    <mergeCell ref="AU230:BB230"/>
    <mergeCell ref="AU226:BB226"/>
    <mergeCell ref="AU227:BB227"/>
    <mergeCell ref="AU223:BB223"/>
    <mergeCell ref="AU224:BB224"/>
    <mergeCell ref="AU218:BB218"/>
    <mergeCell ref="BC207:BC239"/>
    <mergeCell ref="BD207:BD254"/>
    <mergeCell ref="AU174:BB174"/>
    <mergeCell ref="AU172:BB172"/>
    <mergeCell ref="AU166:BB166"/>
    <mergeCell ref="AU165:BB165"/>
    <mergeCell ref="AU163:BB163"/>
    <mergeCell ref="AU162:BB162"/>
    <mergeCell ref="AU183:BB183"/>
    <mergeCell ref="AU181:BB181"/>
    <mergeCell ref="AU180:BB180"/>
    <mergeCell ref="AU178:BB178"/>
    <mergeCell ref="AU177:BB177"/>
    <mergeCell ref="AU175:BB175"/>
    <mergeCell ref="BC155:BC184"/>
    <mergeCell ref="BD155:BD190"/>
    <mergeCell ref="AU152:AX153"/>
    <mergeCell ref="AY152:BB153"/>
    <mergeCell ref="BC152:BC154"/>
    <mergeCell ref="BD152:BD154"/>
    <mergeCell ref="AU168:BB168"/>
    <mergeCell ref="AU169:BB169"/>
    <mergeCell ref="AT45:BD45"/>
    <mergeCell ref="AU106:BB106"/>
    <mergeCell ref="BC98:BD98"/>
    <mergeCell ref="AT98:BB98"/>
    <mergeCell ref="AT95:BD95"/>
    <mergeCell ref="AT72:AT74"/>
    <mergeCell ref="BC71:BD71"/>
    <mergeCell ref="AT71:BB71"/>
    <mergeCell ref="BC123:BC125"/>
    <mergeCell ref="BC120:BC122"/>
    <mergeCell ref="AU119:BB119"/>
    <mergeCell ref="AU113:BB113"/>
    <mergeCell ref="AU112:BB112"/>
    <mergeCell ref="AU107:BB107"/>
    <mergeCell ref="BC151:BD151"/>
    <mergeCell ref="AT151:BB151"/>
    <mergeCell ref="BC139:BC141"/>
    <mergeCell ref="AU136:AX137"/>
    <mergeCell ref="AT136:AT138"/>
    <mergeCell ref="BC135:BD135"/>
    <mergeCell ref="AT135:BB135"/>
    <mergeCell ref="AU115:BB115"/>
    <mergeCell ref="AU116:BB116"/>
    <mergeCell ref="AU47:AX48"/>
    <mergeCell ref="AY47:BB48"/>
    <mergeCell ref="BC47:BC49"/>
    <mergeCell ref="BD47:BD49"/>
    <mergeCell ref="O123:O125"/>
    <mergeCell ref="P123:P125"/>
    <mergeCell ref="Q123:Q125"/>
    <mergeCell ref="R123:R125"/>
    <mergeCell ref="S123:S125"/>
    <mergeCell ref="H123:H125"/>
    <mergeCell ref="I123:I125"/>
    <mergeCell ref="J123:J125"/>
    <mergeCell ref="K123:K125"/>
    <mergeCell ref="L123:L125"/>
    <mergeCell ref="M123:M125"/>
    <mergeCell ref="K120:K122"/>
    <mergeCell ref="AU58:BB58"/>
    <mergeCell ref="AU55:BB55"/>
    <mergeCell ref="AT47:AT49"/>
    <mergeCell ref="BC46:BD46"/>
    <mergeCell ref="AT46:BB46"/>
    <mergeCell ref="L120:L122"/>
    <mergeCell ref="M120:M122"/>
    <mergeCell ref="AQ117:AQ119"/>
    <mergeCell ref="AR117:AR119"/>
    <mergeCell ref="AS117:AS119"/>
    <mergeCell ref="AR105:AR107"/>
    <mergeCell ref="AS105:AS107"/>
    <mergeCell ref="AI105:AI107"/>
    <mergeCell ref="AJ105:AJ107"/>
    <mergeCell ref="AK105:AK107"/>
    <mergeCell ref="AL105:AL107"/>
    <mergeCell ref="AM105:AM107"/>
    <mergeCell ref="AN105:AN107"/>
    <mergeCell ref="T105:T107"/>
    <mergeCell ref="AD105:AD107"/>
  </mergeCells>
  <conditionalFormatting sqref="AB110:AC110 Y116 AC116 AC119 Y107 AA107 AC113 AA698 W695 V689:AC689 AA686:AC686 Y695 AA695 AC695 AA692:AC692 AC491 Y524 AA524 AC524 Y536 AA536 AC536 Y383 AC383 Y215 AC215 AC80 Z163:AC163 W432:Y432 W435:Y435 W438 Y438 AA432:AC432 AA435:AC435 AA438 AC438 AU194:BB194">
    <cfRule type="cellIs" dxfId="2972" priority="2983" stopIfTrue="1" operator="lessThanOrEqual">
      <formula>$I$8</formula>
    </cfRule>
    <cfRule type="cellIs" dxfId="2971" priority="2984" stopIfTrue="1" operator="between">
      <formula>$I$8</formula>
      <formula>$J$8</formula>
    </cfRule>
    <cfRule type="cellIs" dxfId="2970" priority="2985" stopIfTrue="1" operator="greaterThanOrEqual">
      <formula>$J$8</formula>
    </cfRule>
  </conditionalFormatting>
  <conditionalFormatting sqref="AU194:BB194">
    <cfRule type="cellIs" dxfId="2969" priority="2980" stopIfTrue="1" operator="lessThanOrEqual">
      <formula>#REF!</formula>
    </cfRule>
    <cfRule type="cellIs" dxfId="2968" priority="2981" stopIfTrue="1" operator="between">
      <formula>#REF!</formula>
      <formula>#REF!</formula>
    </cfRule>
    <cfRule type="cellIs" dxfId="2967" priority="2982" stopIfTrue="1" operator="greaterThanOrEqual">
      <formula>#REF!</formula>
    </cfRule>
  </conditionalFormatting>
  <conditionalFormatting sqref="AU87:BB87">
    <cfRule type="cellIs" dxfId="2966" priority="2977" stopIfTrue="1" operator="lessThanOrEqual">
      <formula>$I$8</formula>
    </cfRule>
    <cfRule type="cellIs" dxfId="2965" priority="2978" stopIfTrue="1" operator="between">
      <formula>$I$8</formula>
      <formula>$J$8</formula>
    </cfRule>
    <cfRule type="cellIs" dxfId="2964" priority="2979" stopIfTrue="1" operator="greaterThanOrEqual">
      <formula>$J$8</formula>
    </cfRule>
  </conditionalFormatting>
  <conditionalFormatting sqref="AU87:BB87">
    <cfRule type="cellIs" dxfId="2963" priority="2974" stopIfTrue="1" operator="lessThanOrEqual">
      <formula>#REF!</formula>
    </cfRule>
    <cfRule type="cellIs" dxfId="2962" priority="2975" stopIfTrue="1" operator="between">
      <formula>#REF!</formula>
      <formula>#REF!</formula>
    </cfRule>
    <cfRule type="cellIs" dxfId="2961" priority="2976" stopIfTrue="1" operator="greaterThanOrEqual">
      <formula>#REF!</formula>
    </cfRule>
  </conditionalFormatting>
  <conditionalFormatting sqref="BD452">
    <cfRule type="cellIs" dxfId="2960" priority="2971" stopIfTrue="1" operator="lessThanOrEqual">
      <formula>$I$8</formula>
    </cfRule>
    <cfRule type="cellIs" dxfId="2959" priority="2972" stopIfTrue="1" operator="between">
      <formula>$I$8</formula>
      <formula>$J$8</formula>
    </cfRule>
    <cfRule type="cellIs" dxfId="2958" priority="2973" stopIfTrue="1" operator="greaterThanOrEqual">
      <formula>$J$8</formula>
    </cfRule>
  </conditionalFormatting>
  <conditionalFormatting sqref="BD452">
    <cfRule type="cellIs" dxfId="2957" priority="2968" stopIfTrue="1" operator="lessThanOrEqual">
      <formula>#REF!</formula>
    </cfRule>
    <cfRule type="cellIs" dxfId="2956" priority="2969" stopIfTrue="1" operator="between">
      <formula>#REF!</formula>
      <formula>#REF!</formula>
    </cfRule>
    <cfRule type="cellIs" dxfId="2955" priority="2970" stopIfTrue="1" operator="greaterThanOrEqual">
      <formula>#REF!</formula>
    </cfRule>
  </conditionalFormatting>
  <conditionalFormatting sqref="BD550">
    <cfRule type="cellIs" dxfId="2954" priority="2965" stopIfTrue="1" operator="lessThanOrEqual">
      <formula>$I$8</formula>
    </cfRule>
    <cfRule type="cellIs" dxfId="2953" priority="2966" stopIfTrue="1" operator="between">
      <formula>$I$8</formula>
      <formula>$J$8</formula>
    </cfRule>
    <cfRule type="cellIs" dxfId="2952" priority="2967" stopIfTrue="1" operator="greaterThanOrEqual">
      <formula>$J$8</formula>
    </cfRule>
  </conditionalFormatting>
  <conditionalFormatting sqref="BD550">
    <cfRule type="cellIs" dxfId="2951" priority="2962" stopIfTrue="1" operator="lessThanOrEqual">
      <formula>#REF!</formula>
    </cfRule>
    <cfRule type="cellIs" dxfId="2950" priority="2963" stopIfTrue="1" operator="between">
      <formula>#REF!</formula>
      <formula>#REF!</formula>
    </cfRule>
    <cfRule type="cellIs" dxfId="2949" priority="2964" stopIfTrue="1" operator="greaterThanOrEqual">
      <formula>#REF!</formula>
    </cfRule>
  </conditionalFormatting>
  <conditionalFormatting sqref="AU62:BB62">
    <cfRule type="cellIs" dxfId="2948" priority="2959" stopIfTrue="1" operator="lessThanOrEqual">
      <formula>$I$8</formula>
    </cfRule>
    <cfRule type="cellIs" dxfId="2947" priority="2960" stopIfTrue="1" operator="between">
      <formula>$I$8</formula>
      <formula>$J$8</formula>
    </cfRule>
    <cfRule type="cellIs" dxfId="2946" priority="2961" stopIfTrue="1" operator="greaterThanOrEqual">
      <formula>$J$8</formula>
    </cfRule>
  </conditionalFormatting>
  <conditionalFormatting sqref="AU62:BB62">
    <cfRule type="cellIs" dxfId="2945" priority="2956" stopIfTrue="1" operator="lessThanOrEqual">
      <formula>#REF!</formula>
    </cfRule>
    <cfRule type="cellIs" dxfId="2944" priority="2957" stopIfTrue="1" operator="between">
      <formula>#REF!</formula>
      <formula>#REF!</formula>
    </cfRule>
    <cfRule type="cellIs" dxfId="2943" priority="2958" stopIfTrue="1" operator="greaterThanOrEqual">
      <formula>#REF!</formula>
    </cfRule>
  </conditionalFormatting>
  <conditionalFormatting sqref="BD684">
    <cfRule type="cellIs" dxfId="2942" priority="2953" stopIfTrue="1" operator="lessThanOrEqual">
      <formula>$I$8</formula>
    </cfRule>
    <cfRule type="cellIs" dxfId="2941" priority="2954" stopIfTrue="1" operator="between">
      <formula>$I$8</formula>
      <formula>$J$8</formula>
    </cfRule>
    <cfRule type="cellIs" dxfId="2940" priority="2955" stopIfTrue="1" operator="greaterThanOrEqual">
      <formula>$J$8</formula>
    </cfRule>
  </conditionalFormatting>
  <conditionalFormatting sqref="BD684">
    <cfRule type="cellIs" dxfId="2939" priority="2950" stopIfTrue="1" operator="lessThanOrEqual">
      <formula>#REF!</formula>
    </cfRule>
    <cfRule type="cellIs" dxfId="2938" priority="2951" stopIfTrue="1" operator="between">
      <formula>#REF!</formula>
      <formula>#REF!</formula>
    </cfRule>
    <cfRule type="cellIs" dxfId="2937" priority="2952" stopIfTrue="1" operator="greaterThanOrEqual">
      <formula>#REF!</formula>
    </cfRule>
  </conditionalFormatting>
  <conditionalFormatting sqref="Z39:AC39">
    <cfRule type="cellIs" dxfId="2936" priority="2947" stopIfTrue="1" operator="lessThanOrEqual">
      <formula>$I$8</formula>
    </cfRule>
    <cfRule type="cellIs" dxfId="2935" priority="2948" stopIfTrue="1" operator="between">
      <formula>$I$8</formula>
      <formula>$J$8</formula>
    </cfRule>
    <cfRule type="cellIs" dxfId="2934" priority="2949" stopIfTrue="1" operator="greaterThanOrEqual">
      <formula>$J$8</formula>
    </cfRule>
  </conditionalFormatting>
  <conditionalFormatting sqref="Z39:AC39">
    <cfRule type="cellIs" dxfId="2933" priority="2944" stopIfTrue="1" operator="lessThanOrEqual">
      <formula>#REF!</formula>
    </cfRule>
    <cfRule type="cellIs" dxfId="2932" priority="2945" stopIfTrue="1" operator="between">
      <formula>#REF!</formula>
      <formula>#REF!</formula>
    </cfRule>
    <cfRule type="cellIs" dxfId="2931" priority="2946" stopIfTrue="1" operator="greaterThanOrEqual">
      <formula>#REF!</formula>
    </cfRule>
  </conditionalFormatting>
  <conditionalFormatting sqref="Z42:AC42">
    <cfRule type="cellIs" dxfId="2930" priority="2941" stopIfTrue="1" operator="lessThanOrEqual">
      <formula>$I$8</formula>
    </cfRule>
    <cfRule type="cellIs" dxfId="2929" priority="2942" stopIfTrue="1" operator="between">
      <formula>$I$8</formula>
      <formula>$J$8</formula>
    </cfRule>
    <cfRule type="cellIs" dxfId="2928" priority="2943" stopIfTrue="1" operator="greaterThanOrEqual">
      <formula>$J$8</formula>
    </cfRule>
  </conditionalFormatting>
  <conditionalFormatting sqref="Z42:AC42">
    <cfRule type="cellIs" dxfId="2927" priority="2938" stopIfTrue="1" operator="lessThanOrEqual">
      <formula>#REF!</formula>
    </cfRule>
    <cfRule type="cellIs" dxfId="2926" priority="2939" stopIfTrue="1" operator="between">
      <formula>#REF!</formula>
      <formula>#REF!</formula>
    </cfRule>
    <cfRule type="cellIs" dxfId="2925" priority="2940" stopIfTrue="1" operator="greaterThanOrEqual">
      <formula>#REF!</formula>
    </cfRule>
  </conditionalFormatting>
  <conditionalFormatting sqref="V39:Y39">
    <cfRule type="cellIs" dxfId="2924" priority="2935" stopIfTrue="1" operator="lessThanOrEqual">
      <formula>$I$8</formula>
    </cfRule>
    <cfRule type="cellIs" dxfId="2923" priority="2936" stopIfTrue="1" operator="between">
      <formula>$I$8</formula>
      <formula>$J$8</formula>
    </cfRule>
    <cfRule type="cellIs" dxfId="2922" priority="2937" stopIfTrue="1" operator="greaterThanOrEqual">
      <formula>$J$8</formula>
    </cfRule>
  </conditionalFormatting>
  <conditionalFormatting sqref="V39:Y39">
    <cfRule type="cellIs" dxfId="2921" priority="2932" stopIfTrue="1" operator="lessThanOrEqual">
      <formula>#REF!</formula>
    </cfRule>
    <cfRule type="cellIs" dxfId="2920" priority="2933" stopIfTrue="1" operator="between">
      <formula>#REF!</formula>
      <formula>#REF!</formula>
    </cfRule>
    <cfRule type="cellIs" dxfId="2919" priority="2934" stopIfTrue="1" operator="greaterThanOrEqual">
      <formula>#REF!</formula>
    </cfRule>
  </conditionalFormatting>
  <conditionalFormatting sqref="V42:Y42">
    <cfRule type="cellIs" dxfId="2918" priority="2929" stopIfTrue="1" operator="lessThanOrEqual">
      <formula>$I$8</formula>
    </cfRule>
    <cfRule type="cellIs" dxfId="2917" priority="2930" stopIfTrue="1" operator="between">
      <formula>$I$8</formula>
      <formula>$J$8</formula>
    </cfRule>
    <cfRule type="cellIs" dxfId="2916" priority="2931" stopIfTrue="1" operator="greaterThanOrEqual">
      <formula>$J$8</formula>
    </cfRule>
  </conditionalFormatting>
  <conditionalFormatting sqref="V42:Y42">
    <cfRule type="cellIs" dxfId="2915" priority="2926" stopIfTrue="1" operator="lessThanOrEqual">
      <formula>#REF!</formula>
    </cfRule>
    <cfRule type="cellIs" dxfId="2914" priority="2927" stopIfTrue="1" operator="between">
      <formula>#REF!</formula>
      <formula>#REF!</formula>
    </cfRule>
    <cfRule type="cellIs" dxfId="2913" priority="2928" stopIfTrue="1" operator="greaterThanOrEqual">
      <formula>#REF!</formula>
    </cfRule>
  </conditionalFormatting>
  <conditionalFormatting sqref="Z454:AC454">
    <cfRule type="cellIs" dxfId="2912" priority="2875" stopIfTrue="1" operator="lessThanOrEqual">
      <formula>$I$8</formula>
    </cfRule>
    <cfRule type="cellIs" dxfId="2911" priority="2876" stopIfTrue="1" operator="between">
      <formula>$I$8</formula>
      <formula>$J$8</formula>
    </cfRule>
    <cfRule type="cellIs" dxfId="2910" priority="2877" stopIfTrue="1" operator="greaterThanOrEqual">
      <formula>$J$8</formula>
    </cfRule>
  </conditionalFormatting>
  <conditionalFormatting sqref="AA463">
    <cfRule type="cellIs" dxfId="2909" priority="2893" stopIfTrue="1" operator="lessThanOrEqual">
      <formula>$I$8</formula>
    </cfRule>
    <cfRule type="cellIs" dxfId="2908" priority="2894" stopIfTrue="1" operator="between">
      <formula>$I$8</formula>
      <formula>$J$8</formula>
    </cfRule>
    <cfRule type="cellIs" dxfId="2907" priority="2895" stopIfTrue="1" operator="greaterThanOrEqual">
      <formula>$J$8</formula>
    </cfRule>
  </conditionalFormatting>
  <conditionalFormatting sqref="Z460:AC460">
    <cfRule type="cellIs" dxfId="2906" priority="2887" stopIfTrue="1" operator="lessThanOrEqual">
      <formula>$I$8</formula>
    </cfRule>
    <cfRule type="cellIs" dxfId="2905" priority="2888" stopIfTrue="1" operator="between">
      <formula>$I$8</formula>
      <formula>$J$8</formula>
    </cfRule>
    <cfRule type="cellIs" dxfId="2904" priority="2889" stopIfTrue="1" operator="greaterThanOrEqual">
      <formula>$J$8</formula>
    </cfRule>
  </conditionalFormatting>
  <conditionalFormatting sqref="Z457:AC457">
    <cfRule type="cellIs" dxfId="2903" priority="2881" stopIfTrue="1" operator="lessThanOrEqual">
      <formula>$I$8</formula>
    </cfRule>
    <cfRule type="cellIs" dxfId="2902" priority="2882" stopIfTrue="1" operator="between">
      <formula>$I$8</formula>
      <formula>$J$8</formula>
    </cfRule>
    <cfRule type="cellIs" dxfId="2901" priority="2883" stopIfTrue="1" operator="greaterThanOrEqual">
      <formula>$J$8</formula>
    </cfRule>
  </conditionalFormatting>
  <conditionalFormatting sqref="X110:Y110">
    <cfRule type="cellIs" dxfId="2900" priority="2917" stopIfTrue="1" operator="lessThanOrEqual">
      <formula>$I$8</formula>
    </cfRule>
    <cfRule type="cellIs" dxfId="2899" priority="2918" stopIfTrue="1" operator="between">
      <formula>$I$8</formula>
      <formula>$J$8</formula>
    </cfRule>
    <cfRule type="cellIs" dxfId="2898" priority="2919" stopIfTrue="1" operator="greaterThanOrEqual">
      <formula>$J$8</formula>
    </cfRule>
  </conditionalFormatting>
  <conditionalFormatting sqref="X110:Y110 AB110:AC110">
    <cfRule type="cellIs" dxfId="2897" priority="2914" stopIfTrue="1" operator="lessThanOrEqual">
      <formula>#REF!</formula>
    </cfRule>
    <cfRule type="cellIs" dxfId="2896" priority="2915" stopIfTrue="1" operator="between">
      <formula>#REF!</formula>
      <formula>#REF!</formula>
    </cfRule>
    <cfRule type="cellIs" dxfId="2895" priority="2916" stopIfTrue="1" operator="greaterThanOrEqual">
      <formula>#REF!</formula>
    </cfRule>
  </conditionalFormatting>
  <conditionalFormatting sqref="Y119">
    <cfRule type="cellIs" dxfId="2894" priority="2911" stopIfTrue="1" operator="lessThanOrEqual">
      <formula>$I$8</formula>
    </cfRule>
    <cfRule type="cellIs" dxfId="2893" priority="2912" stopIfTrue="1" operator="between">
      <formula>$I$8</formula>
      <formula>$J$8</formula>
    </cfRule>
    <cfRule type="cellIs" dxfId="2892" priority="2913" stopIfTrue="1" operator="greaterThanOrEqual">
      <formula>$J$8</formula>
    </cfRule>
  </conditionalFormatting>
  <conditionalFormatting sqref="Y119 Y116 AC116 AC119">
    <cfRule type="cellIs" dxfId="2891" priority="2908" stopIfTrue="1" operator="lessThanOrEqual">
      <formula>#REF!</formula>
    </cfRule>
    <cfRule type="cellIs" dxfId="2890" priority="2909" stopIfTrue="1" operator="between">
      <formula>#REF!</formula>
      <formula>#REF!</formula>
    </cfRule>
    <cfRule type="cellIs" dxfId="2889" priority="2910" stopIfTrue="1" operator="greaterThanOrEqual">
      <formula>#REF!</formula>
    </cfRule>
  </conditionalFormatting>
  <conditionalFormatting sqref="AC107">
    <cfRule type="cellIs" dxfId="2888" priority="2905" stopIfTrue="1" operator="lessThanOrEqual">
      <formula>$I$8</formula>
    </cfRule>
    <cfRule type="cellIs" dxfId="2887" priority="2906" stopIfTrue="1" operator="between">
      <formula>$I$8</formula>
      <formula>$J$8</formula>
    </cfRule>
    <cfRule type="cellIs" dxfId="2886" priority="2907" stopIfTrue="1" operator="greaterThanOrEqual">
      <formula>$J$8</formula>
    </cfRule>
  </conditionalFormatting>
  <conditionalFormatting sqref="AC107">
    <cfRule type="cellIs" dxfId="2885" priority="2902" stopIfTrue="1" operator="lessThanOrEqual">
      <formula>#REF!</formula>
    </cfRule>
    <cfRule type="cellIs" dxfId="2884" priority="2903" stopIfTrue="1" operator="between">
      <formula>#REF!</formula>
      <formula>#REF!</formula>
    </cfRule>
    <cfRule type="cellIs" dxfId="2883" priority="2904" stopIfTrue="1" operator="greaterThanOrEqual">
      <formula>#REF!</formula>
    </cfRule>
  </conditionalFormatting>
  <conditionalFormatting sqref="W107">
    <cfRule type="cellIs" dxfId="2882" priority="2923" stopIfTrue="1" operator="lessThanOrEqual">
      <formula>$I$8</formula>
    </cfRule>
    <cfRule type="cellIs" dxfId="2881" priority="2924" stopIfTrue="1" operator="between">
      <formula>$I$8</formula>
      <formula>$J$8</formula>
    </cfRule>
    <cfRule type="cellIs" dxfId="2880" priority="2925" stopIfTrue="1" operator="greaterThanOrEqual">
      <formula>$J$8</formula>
    </cfRule>
  </conditionalFormatting>
  <conditionalFormatting sqref="W107 Y107 AA107">
    <cfRule type="cellIs" dxfId="2879" priority="2920" stopIfTrue="1" operator="lessThanOrEqual">
      <formula>#REF!</formula>
    </cfRule>
    <cfRule type="cellIs" dxfId="2878" priority="2921" stopIfTrue="1" operator="between">
      <formula>#REF!</formula>
      <formula>#REF!</formula>
    </cfRule>
    <cfRule type="cellIs" dxfId="2877" priority="2922" stopIfTrue="1" operator="greaterThanOrEqual">
      <formula>#REF!</formula>
    </cfRule>
  </conditionalFormatting>
  <conditionalFormatting sqref="Y113">
    <cfRule type="cellIs" dxfId="2876" priority="2899" stopIfTrue="1" operator="lessThanOrEqual">
      <formula>$I$8</formula>
    </cfRule>
    <cfRule type="cellIs" dxfId="2875" priority="2900" stopIfTrue="1" operator="between">
      <formula>$I$8</formula>
      <formula>$J$8</formula>
    </cfRule>
    <cfRule type="cellIs" dxfId="2874" priority="2901" stopIfTrue="1" operator="greaterThanOrEqual">
      <formula>$J$8</formula>
    </cfRule>
  </conditionalFormatting>
  <conditionalFormatting sqref="Y113 AC113">
    <cfRule type="cellIs" dxfId="2873" priority="2896" stopIfTrue="1" operator="lessThanOrEqual">
      <formula>#REF!</formula>
    </cfRule>
    <cfRule type="cellIs" dxfId="2872" priority="2897" stopIfTrue="1" operator="between">
      <formula>#REF!</formula>
      <formula>#REF!</formula>
    </cfRule>
    <cfRule type="cellIs" dxfId="2871" priority="2898" stopIfTrue="1" operator="greaterThanOrEqual">
      <formula>#REF!</formula>
    </cfRule>
  </conditionalFormatting>
  <conditionalFormatting sqref="AU439:BB439">
    <cfRule type="cellIs" dxfId="2870" priority="2869" stopIfTrue="1" operator="lessThanOrEqual">
      <formula>$I$8</formula>
    </cfRule>
    <cfRule type="cellIs" dxfId="2869" priority="2870" stopIfTrue="1" operator="between">
      <formula>$I$8</formula>
      <formula>$J$8</formula>
    </cfRule>
    <cfRule type="cellIs" dxfId="2868" priority="2871" stopIfTrue="1" operator="greaterThanOrEqual">
      <formula>$J$8</formula>
    </cfRule>
  </conditionalFormatting>
  <conditionalFormatting sqref="Z460:AC460">
    <cfRule type="cellIs" dxfId="2867" priority="2884" stopIfTrue="1" operator="lessThanOrEqual">
      <formula>#REF!</formula>
    </cfRule>
    <cfRule type="cellIs" dxfId="2866" priority="2885" stopIfTrue="1" operator="between">
      <formula>#REF!</formula>
      <formula>#REF!</formula>
    </cfRule>
    <cfRule type="cellIs" dxfId="2865" priority="2886" stopIfTrue="1" operator="greaterThanOrEqual">
      <formula>#REF!</formula>
    </cfRule>
  </conditionalFormatting>
  <conditionalFormatting sqref="AA463">
    <cfRule type="cellIs" dxfId="2864" priority="2890" stopIfTrue="1" operator="lessThanOrEqual">
      <formula>#REF!</formula>
    </cfRule>
    <cfRule type="cellIs" dxfId="2863" priority="2891" stopIfTrue="1" operator="between">
      <formula>#REF!</formula>
      <formula>#REF!</formula>
    </cfRule>
    <cfRule type="cellIs" dxfId="2862" priority="2892" stopIfTrue="1" operator="greaterThanOrEqual">
      <formula>#REF!</formula>
    </cfRule>
  </conditionalFormatting>
  <conditionalFormatting sqref="Z457:AC457">
    <cfRule type="cellIs" dxfId="2861" priority="2878" stopIfTrue="1" operator="lessThanOrEqual">
      <formula>#REF!</formula>
    </cfRule>
    <cfRule type="cellIs" dxfId="2860" priority="2879" stopIfTrue="1" operator="between">
      <formula>#REF!</formula>
      <formula>#REF!</formula>
    </cfRule>
    <cfRule type="cellIs" dxfId="2859" priority="2880" stopIfTrue="1" operator="greaterThanOrEqual">
      <formula>#REF!</formula>
    </cfRule>
  </conditionalFormatting>
  <conditionalFormatting sqref="Z454:AC454">
    <cfRule type="cellIs" dxfId="2858" priority="2872" stopIfTrue="1" operator="lessThanOrEqual">
      <formula>#REF!</formula>
    </cfRule>
    <cfRule type="cellIs" dxfId="2857" priority="2873" stopIfTrue="1" operator="between">
      <formula>#REF!</formula>
      <formula>#REF!</formula>
    </cfRule>
    <cfRule type="cellIs" dxfId="2856" priority="2874" stopIfTrue="1" operator="greaterThanOrEqual">
      <formula>#REF!</formula>
    </cfRule>
  </conditionalFormatting>
  <conditionalFormatting sqref="AU439:BB439">
    <cfRule type="cellIs" dxfId="2855" priority="2866" stopIfTrue="1" operator="lessThanOrEqual">
      <formula>#REF!</formula>
    </cfRule>
    <cfRule type="cellIs" dxfId="2854" priority="2867" stopIfTrue="1" operator="between">
      <formula>#REF!</formula>
      <formula>#REF!</formula>
    </cfRule>
    <cfRule type="cellIs" dxfId="2853" priority="2868" stopIfTrue="1" operator="greaterThanOrEqual">
      <formula>#REF!</formula>
    </cfRule>
  </conditionalFormatting>
  <conditionalFormatting sqref="AV155:AX155 AZ155:BB155">
    <cfRule type="cellIs" dxfId="2852" priority="2857" stopIfTrue="1" operator="lessThanOrEqual">
      <formula>$I$8</formula>
    </cfRule>
    <cfRule type="cellIs" dxfId="2851" priority="2858" stopIfTrue="1" operator="between">
      <formula>$I$8</formula>
      <formula>$J$8</formula>
    </cfRule>
    <cfRule type="cellIs" dxfId="2850" priority="2859" stopIfTrue="1" operator="greaterThanOrEqual">
      <formula>$J$8</formula>
    </cfRule>
  </conditionalFormatting>
  <conditionalFormatting sqref="BD102">
    <cfRule type="cellIs" dxfId="2849" priority="2863" stopIfTrue="1" operator="lessThanOrEqual">
      <formula>$I$8</formula>
    </cfRule>
    <cfRule type="cellIs" dxfId="2848" priority="2864" stopIfTrue="1" operator="between">
      <formula>$I$8</formula>
      <formula>$J$8</formula>
    </cfRule>
    <cfRule type="cellIs" dxfId="2847" priority="2865" stopIfTrue="1" operator="greaterThanOrEqual">
      <formula>$J$8</formula>
    </cfRule>
  </conditionalFormatting>
  <conditionalFormatting sqref="AV155:AX155 AZ155:BB155">
    <cfRule type="cellIs" dxfId="2846" priority="2854" stopIfTrue="1" operator="lessThanOrEqual">
      <formula>#REF!</formula>
    </cfRule>
    <cfRule type="cellIs" dxfId="2845" priority="2855" stopIfTrue="1" operator="between">
      <formula>#REF!</formula>
      <formula>#REF!</formula>
    </cfRule>
    <cfRule type="cellIs" dxfId="2844" priority="2856" stopIfTrue="1" operator="greaterThanOrEqual">
      <formula>#REF!</formula>
    </cfRule>
  </conditionalFormatting>
  <conditionalFormatting sqref="BD102">
    <cfRule type="cellIs" dxfId="2843" priority="2860" stopIfTrue="1" operator="lessThanOrEqual">
      <formula>#REF!</formula>
    </cfRule>
    <cfRule type="cellIs" dxfId="2842" priority="2861" stopIfTrue="1" operator="between">
      <formula>#REF!</formula>
      <formula>#REF!</formula>
    </cfRule>
    <cfRule type="cellIs" dxfId="2841" priority="2862" stopIfTrue="1" operator="greaterThanOrEqual">
      <formula>#REF!</formula>
    </cfRule>
  </conditionalFormatting>
  <conditionalFormatting sqref="BD155">
    <cfRule type="cellIs" dxfId="2840" priority="2851" stopIfTrue="1" operator="lessThanOrEqual">
      <formula>$I$8</formula>
    </cfRule>
    <cfRule type="cellIs" dxfId="2839" priority="2852" stopIfTrue="1" operator="between">
      <formula>$I$8</formula>
      <formula>$J$8</formula>
    </cfRule>
    <cfRule type="cellIs" dxfId="2838" priority="2853" stopIfTrue="1" operator="greaterThanOrEqual">
      <formula>$J$8</formula>
    </cfRule>
  </conditionalFormatting>
  <conditionalFormatting sqref="BD155">
    <cfRule type="cellIs" dxfId="2837" priority="2848" stopIfTrue="1" operator="lessThanOrEqual">
      <formula>#REF!</formula>
    </cfRule>
    <cfRule type="cellIs" dxfId="2836" priority="2849" stopIfTrue="1" operator="between">
      <formula>#REF!</formula>
      <formula>#REF!</formula>
    </cfRule>
    <cfRule type="cellIs" dxfId="2835" priority="2850" stopIfTrue="1" operator="greaterThanOrEqual">
      <formula>#REF!</formula>
    </cfRule>
  </conditionalFormatting>
  <conditionalFormatting sqref="BD314">
    <cfRule type="cellIs" dxfId="2834" priority="2845" stopIfTrue="1" operator="lessThanOrEqual">
      <formula>$I$8</formula>
    </cfRule>
    <cfRule type="cellIs" dxfId="2833" priority="2846" stopIfTrue="1" operator="between">
      <formula>$I$8</formula>
      <formula>$J$8</formula>
    </cfRule>
    <cfRule type="cellIs" dxfId="2832" priority="2847" stopIfTrue="1" operator="greaterThanOrEqual">
      <formula>$J$8</formula>
    </cfRule>
  </conditionalFormatting>
  <conditionalFormatting sqref="BD314">
    <cfRule type="cellIs" dxfId="2831" priority="2842" stopIfTrue="1" operator="lessThanOrEqual">
      <formula>#REF!</formula>
    </cfRule>
    <cfRule type="cellIs" dxfId="2830" priority="2843" stopIfTrue="1" operator="between">
      <formula>#REF!</formula>
      <formula>#REF!</formula>
    </cfRule>
    <cfRule type="cellIs" dxfId="2829" priority="2844" stopIfTrue="1" operator="greaterThanOrEqual">
      <formula>#REF!</formula>
    </cfRule>
  </conditionalFormatting>
  <conditionalFormatting sqref="V125:AC125">
    <cfRule type="cellIs" dxfId="2828" priority="2839" stopIfTrue="1" operator="lessThanOrEqual">
      <formula>$I$8</formula>
    </cfRule>
    <cfRule type="cellIs" dxfId="2827" priority="2840" stopIfTrue="1" operator="between">
      <formula>$I$8</formula>
      <formula>$J$8</formula>
    </cfRule>
    <cfRule type="cellIs" dxfId="2826" priority="2841" stopIfTrue="1" operator="greaterThanOrEqual">
      <formula>$J$8</formula>
    </cfRule>
  </conditionalFormatting>
  <conditionalFormatting sqref="V110">
    <cfRule type="cellIs" dxfId="2825" priority="2827" stopIfTrue="1" operator="lessThanOrEqual">
      <formula>$I$8</formula>
    </cfRule>
    <cfRule type="cellIs" dxfId="2824" priority="2828" stopIfTrue="1" operator="between">
      <formula>$I$8</formula>
      <formula>$J$8</formula>
    </cfRule>
    <cfRule type="cellIs" dxfId="2823" priority="2829" stopIfTrue="1" operator="greaterThanOrEqual">
      <formula>$J$8</formula>
    </cfRule>
  </conditionalFormatting>
  <conditionalFormatting sqref="Z110">
    <cfRule type="cellIs" dxfId="2822" priority="2821" stopIfTrue="1" operator="lessThanOrEqual">
      <formula>$I$8</formula>
    </cfRule>
    <cfRule type="cellIs" dxfId="2821" priority="2822" stopIfTrue="1" operator="between">
      <formula>$I$8</formula>
      <formula>$J$8</formula>
    </cfRule>
    <cfRule type="cellIs" dxfId="2820" priority="2823" stopIfTrue="1" operator="greaterThanOrEqual">
      <formula>$J$8</formula>
    </cfRule>
  </conditionalFormatting>
  <conditionalFormatting sqref="AA119">
    <cfRule type="cellIs" dxfId="2819" priority="2791" stopIfTrue="1" operator="lessThanOrEqual">
      <formula>$I$8</formula>
    </cfRule>
    <cfRule type="cellIs" dxfId="2818" priority="2792" stopIfTrue="1" operator="between">
      <formula>$I$8</formula>
      <formula>$J$8</formula>
    </cfRule>
    <cfRule type="cellIs" dxfId="2817" priority="2793" stopIfTrue="1" operator="greaterThanOrEqual">
      <formula>$J$8</formula>
    </cfRule>
  </conditionalFormatting>
  <conditionalFormatting sqref="AA119">
    <cfRule type="cellIs" dxfId="2816" priority="2788" stopIfTrue="1" operator="lessThanOrEqual">
      <formula>#REF!</formula>
    </cfRule>
    <cfRule type="cellIs" dxfId="2815" priority="2789" stopIfTrue="1" operator="between">
      <formula>#REF!</formula>
      <formula>#REF!</formula>
    </cfRule>
    <cfRule type="cellIs" dxfId="2814" priority="2790" stopIfTrue="1" operator="greaterThanOrEqual">
      <formula>#REF!</formula>
    </cfRule>
  </conditionalFormatting>
  <conditionalFormatting sqref="V710:AC710">
    <cfRule type="cellIs" dxfId="2813" priority="2722" stopIfTrue="1" operator="lessThanOrEqual">
      <formula>$I$8</formula>
    </cfRule>
    <cfRule type="cellIs" dxfId="2812" priority="2723" stopIfTrue="1" operator="between">
      <formula>$I$8</formula>
      <formula>$J$8</formula>
    </cfRule>
    <cfRule type="cellIs" dxfId="2811" priority="2724" stopIfTrue="1" operator="greaterThanOrEqual">
      <formula>$J$8</formula>
    </cfRule>
  </conditionalFormatting>
  <conditionalFormatting sqref="V125:AC125">
    <cfRule type="cellIs" dxfId="2810" priority="2836" stopIfTrue="1" operator="lessThanOrEqual">
      <formula>#REF!</formula>
    </cfRule>
    <cfRule type="cellIs" dxfId="2809" priority="2837" stopIfTrue="1" operator="between">
      <formula>#REF!</formula>
      <formula>#REF!</formula>
    </cfRule>
    <cfRule type="cellIs" dxfId="2808" priority="2838" stopIfTrue="1" operator="greaterThanOrEqual">
      <formula>#REF!</formula>
    </cfRule>
  </conditionalFormatting>
  <conditionalFormatting sqref="W698">
    <cfRule type="cellIs" dxfId="2807" priority="2749" stopIfTrue="1" operator="lessThanOrEqual">
      <formula>$I$8</formula>
    </cfRule>
    <cfRule type="cellIs" dxfId="2806" priority="2750" stopIfTrue="1" operator="between">
      <formula>$I$8</formula>
      <formula>$J$8</formula>
    </cfRule>
    <cfRule type="cellIs" dxfId="2805" priority="2751" stopIfTrue="1" operator="greaterThanOrEqual">
      <formula>$J$8</formula>
    </cfRule>
  </conditionalFormatting>
  <conditionalFormatting sqref="W631 Y631 AA631 AC631">
    <cfRule type="cellIs" dxfId="2804" priority="2650" stopIfTrue="1" operator="lessThanOrEqual">
      <formula>$I$8</formula>
    </cfRule>
    <cfRule type="cellIs" dxfId="2803" priority="2651" stopIfTrue="1" operator="between">
      <formula>$I$8</formula>
      <formula>$J$8</formula>
    </cfRule>
    <cfRule type="cellIs" dxfId="2802" priority="2652" stopIfTrue="1" operator="greaterThanOrEqual">
      <formula>$J$8</formula>
    </cfRule>
  </conditionalFormatting>
  <conditionalFormatting sqref="W637 Y637 AA637 AC637">
    <cfRule type="cellIs" dxfId="2801" priority="2644" stopIfTrue="1" operator="lessThanOrEqual">
      <formula>$I$8</formula>
    </cfRule>
    <cfRule type="cellIs" dxfId="2800" priority="2645" stopIfTrue="1" operator="between">
      <formula>$I$8</formula>
      <formula>$J$8</formula>
    </cfRule>
    <cfRule type="cellIs" dxfId="2799" priority="2646" stopIfTrue="1" operator="greaterThanOrEqual">
      <formula>$J$8</formula>
    </cfRule>
  </conditionalFormatting>
  <conditionalFormatting sqref="W110">
    <cfRule type="cellIs" dxfId="2798" priority="2833" stopIfTrue="1" operator="lessThanOrEqual">
      <formula>$I$8</formula>
    </cfRule>
    <cfRule type="cellIs" dxfId="2797" priority="2834" stopIfTrue="1" operator="between">
      <formula>$I$8</formula>
      <formula>$J$8</formula>
    </cfRule>
    <cfRule type="cellIs" dxfId="2796" priority="2835" stopIfTrue="1" operator="greaterThanOrEqual">
      <formula>$J$8</formula>
    </cfRule>
  </conditionalFormatting>
  <conditionalFormatting sqref="W701">
    <cfRule type="cellIs" dxfId="2795" priority="2743" stopIfTrue="1" operator="lessThanOrEqual">
      <formula>$I$8</formula>
    </cfRule>
    <cfRule type="cellIs" dxfId="2794" priority="2744" stopIfTrue="1" operator="between">
      <formula>$I$8</formula>
      <formula>$J$8</formula>
    </cfRule>
    <cfRule type="cellIs" dxfId="2793" priority="2745" stopIfTrue="1" operator="greaterThanOrEqual">
      <formula>$J$8</formula>
    </cfRule>
  </conditionalFormatting>
  <conditionalFormatting sqref="AA110">
    <cfRule type="cellIs" dxfId="2792" priority="2815" stopIfTrue="1" operator="lessThanOrEqual">
      <formula>$I$8</formula>
    </cfRule>
    <cfRule type="cellIs" dxfId="2791" priority="2816" stopIfTrue="1" operator="between">
      <formula>$I$8</formula>
      <formula>$J$8</formula>
    </cfRule>
    <cfRule type="cellIs" dxfId="2790" priority="2817" stopIfTrue="1" operator="greaterThanOrEqual">
      <formula>$J$8</formula>
    </cfRule>
  </conditionalFormatting>
  <conditionalFormatting sqref="W116">
    <cfRule type="cellIs" dxfId="2789" priority="2806" stopIfTrue="1" operator="lessThanOrEqual">
      <formula>#REF!</formula>
    </cfRule>
    <cfRule type="cellIs" dxfId="2788" priority="2807" stopIfTrue="1" operator="between">
      <formula>#REF!</formula>
      <formula>#REF!</formula>
    </cfRule>
    <cfRule type="cellIs" dxfId="2787" priority="2808" stopIfTrue="1" operator="greaterThanOrEqual">
      <formula>#REF!</formula>
    </cfRule>
  </conditionalFormatting>
  <conditionalFormatting sqref="W119">
    <cfRule type="cellIs" dxfId="2786" priority="2797" stopIfTrue="1" operator="lessThanOrEqual">
      <formula>$I$8</formula>
    </cfRule>
    <cfRule type="cellIs" dxfId="2785" priority="2798" stopIfTrue="1" operator="between">
      <formula>$I$8</formula>
      <formula>$J$8</formula>
    </cfRule>
    <cfRule type="cellIs" dxfId="2784" priority="2799" stopIfTrue="1" operator="greaterThanOrEqual">
      <formula>$J$8</formula>
    </cfRule>
  </conditionalFormatting>
  <conditionalFormatting sqref="W119">
    <cfRule type="cellIs" dxfId="2783" priority="2794" stopIfTrue="1" operator="lessThanOrEqual">
      <formula>#REF!</formula>
    </cfRule>
    <cfRule type="cellIs" dxfId="2782" priority="2795" stopIfTrue="1" operator="between">
      <formula>#REF!</formula>
      <formula>#REF!</formula>
    </cfRule>
    <cfRule type="cellIs" dxfId="2781" priority="2796" stopIfTrue="1" operator="greaterThanOrEqual">
      <formula>#REF!</formula>
    </cfRule>
  </conditionalFormatting>
  <conditionalFormatting sqref="W116">
    <cfRule type="cellIs" dxfId="2780" priority="2809" stopIfTrue="1" operator="lessThanOrEqual">
      <formula>$I$8</formula>
    </cfRule>
    <cfRule type="cellIs" dxfId="2779" priority="2810" stopIfTrue="1" operator="between">
      <formula>$I$8</formula>
      <formula>$J$8</formula>
    </cfRule>
    <cfRule type="cellIs" dxfId="2778" priority="2811" stopIfTrue="1" operator="greaterThanOrEqual">
      <formula>$J$8</formula>
    </cfRule>
  </conditionalFormatting>
  <conditionalFormatting sqref="AA116">
    <cfRule type="cellIs" dxfId="2777" priority="2803" stopIfTrue="1" operator="lessThanOrEqual">
      <formula>$I$8</formula>
    </cfRule>
    <cfRule type="cellIs" dxfId="2776" priority="2804" stopIfTrue="1" operator="between">
      <formula>$I$8</formula>
      <formula>$J$8</formula>
    </cfRule>
    <cfRule type="cellIs" dxfId="2775" priority="2805" stopIfTrue="1" operator="greaterThanOrEqual">
      <formula>$J$8</formula>
    </cfRule>
  </conditionalFormatting>
  <conditionalFormatting sqref="V454:Y454">
    <cfRule type="cellIs" dxfId="2774" priority="2785" stopIfTrue="1" operator="lessThanOrEqual">
      <formula>$I$8</formula>
    </cfRule>
    <cfRule type="cellIs" dxfId="2773" priority="2786" stopIfTrue="1" operator="between">
      <formula>$I$8</formula>
      <formula>$J$8</formula>
    </cfRule>
    <cfRule type="cellIs" dxfId="2772" priority="2787" stopIfTrue="1" operator="greaterThanOrEqual">
      <formula>$J$8</formula>
    </cfRule>
  </conditionalFormatting>
  <conditionalFormatting sqref="V707:X707">
    <cfRule type="cellIs" dxfId="2771" priority="2734" stopIfTrue="1" operator="lessThanOrEqual">
      <formula>$I$8</formula>
    </cfRule>
    <cfRule type="cellIs" dxfId="2770" priority="2735" stopIfTrue="1" operator="between">
      <formula>$I$8</formula>
      <formula>$J$8</formula>
    </cfRule>
    <cfRule type="cellIs" dxfId="2769" priority="2736" stopIfTrue="1" operator="greaterThanOrEqual">
      <formula>$J$8</formula>
    </cfRule>
  </conditionalFormatting>
  <conditionalFormatting sqref="V704:AC704">
    <cfRule type="cellIs" dxfId="2768" priority="2737" operator="lessThanOrEqual">
      <formula>$I$8</formula>
    </cfRule>
    <cfRule type="cellIs" dxfId="2767" priority="2738" stopIfTrue="1" operator="between">
      <formula>$I$8</formula>
      <formula>$J$8</formula>
    </cfRule>
    <cfRule type="cellIs" dxfId="2766" priority="2739" stopIfTrue="1" operator="greaterThanOrEqual">
      <formula>$J$8</formula>
    </cfRule>
  </conditionalFormatting>
  <conditionalFormatting sqref="V454:Y454">
    <cfRule type="cellIs" dxfId="2765" priority="2782" stopIfTrue="1" operator="lessThanOrEqual">
      <formula>#REF!</formula>
    </cfRule>
    <cfRule type="cellIs" dxfId="2764" priority="2783" stopIfTrue="1" operator="between">
      <formula>#REF!</formula>
      <formula>#REF!</formula>
    </cfRule>
    <cfRule type="cellIs" dxfId="2763" priority="2784" stopIfTrue="1" operator="greaterThanOrEqual">
      <formula>#REF!</formula>
    </cfRule>
  </conditionalFormatting>
  <conditionalFormatting sqref="V457:Y457">
    <cfRule type="cellIs" dxfId="2762" priority="2779" stopIfTrue="1" operator="lessThanOrEqual">
      <formula>$I$8</formula>
    </cfRule>
    <cfRule type="cellIs" dxfId="2761" priority="2780" stopIfTrue="1" operator="between">
      <formula>$I$8</formula>
      <formula>$J$8</formula>
    </cfRule>
    <cfRule type="cellIs" dxfId="2760" priority="2781" stopIfTrue="1" operator="greaterThanOrEqual">
      <formula>$J$8</formula>
    </cfRule>
  </conditionalFormatting>
  <conditionalFormatting sqref="V460:Y460">
    <cfRule type="cellIs" dxfId="2759" priority="2773" stopIfTrue="1" operator="lessThanOrEqual">
      <formula>$I$8</formula>
    </cfRule>
    <cfRule type="cellIs" dxfId="2758" priority="2774" stopIfTrue="1" operator="between">
      <formula>$I$8</formula>
      <formula>$J$8</formula>
    </cfRule>
    <cfRule type="cellIs" dxfId="2757" priority="2775" stopIfTrue="1" operator="greaterThanOrEqual">
      <formula>$J$8</formula>
    </cfRule>
  </conditionalFormatting>
  <conditionalFormatting sqref="W463">
    <cfRule type="cellIs" dxfId="2756" priority="2767" stopIfTrue="1" operator="lessThanOrEqual">
      <formula>$I$8</formula>
    </cfRule>
    <cfRule type="cellIs" dxfId="2755" priority="2768" stopIfTrue="1" operator="between">
      <formula>$I$8</formula>
      <formula>$J$8</formula>
    </cfRule>
    <cfRule type="cellIs" dxfId="2754" priority="2769" stopIfTrue="1" operator="greaterThanOrEqual">
      <formula>$J$8</formula>
    </cfRule>
  </conditionalFormatting>
  <conditionalFormatting sqref="V319:AC319">
    <cfRule type="cellIs" dxfId="2753" priority="2695" stopIfTrue="1" operator="lessThanOrEqual">
      <formula>#REF!</formula>
    </cfRule>
    <cfRule type="cellIs" dxfId="2752" priority="2696" stopIfTrue="1" operator="between">
      <formula>#REF!</formula>
      <formula>#REF!</formula>
    </cfRule>
    <cfRule type="cellIs" dxfId="2751" priority="2697" stopIfTrue="1" operator="greaterThanOrEqual">
      <formula>#REF!</formula>
    </cfRule>
  </conditionalFormatting>
  <conditionalFormatting sqref="W110">
    <cfRule type="cellIs" dxfId="2750" priority="2830" stopIfTrue="1" operator="lessThanOrEqual">
      <formula>#REF!</formula>
    </cfRule>
    <cfRule type="cellIs" dxfId="2749" priority="2831" stopIfTrue="1" operator="between">
      <formula>#REF!</formula>
      <formula>#REF!</formula>
    </cfRule>
    <cfRule type="cellIs" dxfId="2748" priority="2832" stopIfTrue="1" operator="greaterThanOrEqual">
      <formula>#REF!</formula>
    </cfRule>
  </conditionalFormatting>
  <conditionalFormatting sqref="V110">
    <cfRule type="cellIs" dxfId="2747" priority="2824" stopIfTrue="1" operator="lessThanOrEqual">
      <formula>#REF!</formula>
    </cfRule>
    <cfRule type="cellIs" dxfId="2746" priority="2825" stopIfTrue="1" operator="between">
      <formula>#REF!</formula>
      <formula>#REF!</formula>
    </cfRule>
    <cfRule type="cellIs" dxfId="2745" priority="2826" stopIfTrue="1" operator="greaterThanOrEqual">
      <formula>#REF!</formula>
    </cfRule>
  </conditionalFormatting>
  <conditionalFormatting sqref="Z110">
    <cfRule type="cellIs" dxfId="2744" priority="2818" stopIfTrue="1" operator="lessThanOrEqual">
      <formula>#REF!</formula>
    </cfRule>
    <cfRule type="cellIs" dxfId="2743" priority="2819" stopIfTrue="1" operator="between">
      <formula>#REF!</formula>
      <formula>#REF!</formula>
    </cfRule>
    <cfRule type="cellIs" dxfId="2742" priority="2820" stopIfTrue="1" operator="greaterThanOrEqual">
      <formula>#REF!</formula>
    </cfRule>
  </conditionalFormatting>
  <conditionalFormatting sqref="AA110">
    <cfRule type="cellIs" dxfId="2741" priority="2812" stopIfTrue="1" operator="lessThanOrEqual">
      <formula>#REF!</formula>
    </cfRule>
    <cfRule type="cellIs" dxfId="2740" priority="2813" stopIfTrue="1" operator="between">
      <formula>#REF!</formula>
      <formula>#REF!</formula>
    </cfRule>
    <cfRule type="cellIs" dxfId="2739" priority="2814" stopIfTrue="1" operator="greaterThanOrEqual">
      <formula>#REF!</formula>
    </cfRule>
  </conditionalFormatting>
  <conditionalFormatting sqref="AA116">
    <cfRule type="cellIs" dxfId="2738" priority="2800" stopIfTrue="1" operator="lessThanOrEqual">
      <formula>#REF!</formula>
    </cfRule>
    <cfRule type="cellIs" dxfId="2737" priority="2801" stopIfTrue="1" operator="between">
      <formula>#REF!</formula>
      <formula>#REF!</formula>
    </cfRule>
    <cfRule type="cellIs" dxfId="2736" priority="2802" stopIfTrue="1" operator="greaterThanOrEqual">
      <formula>#REF!</formula>
    </cfRule>
  </conditionalFormatting>
  <conditionalFormatting sqref="V457:Y457">
    <cfRule type="cellIs" dxfId="2735" priority="2776" stopIfTrue="1" operator="lessThanOrEqual">
      <formula>#REF!</formula>
    </cfRule>
    <cfRule type="cellIs" dxfId="2734" priority="2777" stopIfTrue="1" operator="between">
      <formula>#REF!</formula>
      <formula>#REF!</formula>
    </cfRule>
    <cfRule type="cellIs" dxfId="2733" priority="2778" stopIfTrue="1" operator="greaterThanOrEqual">
      <formula>#REF!</formula>
    </cfRule>
  </conditionalFormatting>
  <conditionalFormatting sqref="V460:Y460">
    <cfRule type="cellIs" dxfId="2732" priority="2770" stopIfTrue="1" operator="lessThanOrEqual">
      <formula>#REF!</formula>
    </cfRule>
    <cfRule type="cellIs" dxfId="2731" priority="2771" stopIfTrue="1" operator="between">
      <formula>#REF!</formula>
      <formula>#REF!</formula>
    </cfRule>
    <cfRule type="cellIs" dxfId="2730" priority="2772" stopIfTrue="1" operator="greaterThanOrEqual">
      <formula>#REF!</formula>
    </cfRule>
  </conditionalFormatting>
  <conditionalFormatting sqref="W463">
    <cfRule type="cellIs" dxfId="2729" priority="2764" stopIfTrue="1" operator="lessThanOrEqual">
      <formula>#REF!</formula>
    </cfRule>
    <cfRule type="cellIs" dxfId="2728" priority="2765" stopIfTrue="1" operator="between">
      <formula>#REF!</formula>
      <formula>#REF!</formula>
    </cfRule>
    <cfRule type="cellIs" dxfId="2727" priority="2766" stopIfTrue="1" operator="greaterThanOrEqual">
      <formula>#REF!</formula>
    </cfRule>
  </conditionalFormatting>
  <conditionalFormatting sqref="Z707:AB707">
    <cfRule type="cellIs" dxfId="2726" priority="2728" stopIfTrue="1" operator="lessThanOrEqual">
      <formula>$I$8</formula>
    </cfRule>
    <cfRule type="cellIs" dxfId="2725" priority="2729" stopIfTrue="1" operator="between">
      <formula>$I$8</formula>
      <formula>$J$8</formula>
    </cfRule>
    <cfRule type="cellIs" dxfId="2724" priority="2730" stopIfTrue="1" operator="greaterThanOrEqual">
      <formula>$J$8</formula>
    </cfRule>
  </conditionalFormatting>
  <conditionalFormatting sqref="V319:AC319">
    <cfRule type="cellIs" dxfId="2723" priority="2698" stopIfTrue="1" operator="lessThanOrEqual">
      <formula>$I$8</formula>
    </cfRule>
    <cfRule type="cellIs" dxfId="2722" priority="2699" stopIfTrue="1" operator="between">
      <formula>$I$8</formula>
      <formula>$J$8</formula>
    </cfRule>
    <cfRule type="cellIs" dxfId="2721" priority="2700" stopIfTrue="1" operator="greaterThanOrEqual">
      <formula>$J$8</formula>
    </cfRule>
  </conditionalFormatting>
  <conditionalFormatting sqref="W686:Y686">
    <cfRule type="cellIs" dxfId="2720" priority="2761" stopIfTrue="1" operator="lessThanOrEqual">
      <formula>$I$8</formula>
    </cfRule>
    <cfRule type="cellIs" dxfId="2719" priority="2762" stopIfTrue="1" operator="between">
      <formula>$I$8</formula>
      <formula>$J$8</formula>
    </cfRule>
    <cfRule type="cellIs" dxfId="2718" priority="2763" stopIfTrue="1" operator="greaterThanOrEqual">
      <formula>$J$8</formula>
    </cfRule>
  </conditionalFormatting>
  <conditionalFormatting sqref="W686:Y686 W695 V689:AC689 AA686:AC686 Y695 AA695 AC695">
    <cfRule type="cellIs" dxfId="2717" priority="2758" stopIfTrue="1" operator="lessThanOrEqual">
      <formula>#REF!</formula>
    </cfRule>
    <cfRule type="cellIs" dxfId="2716" priority="2759" stopIfTrue="1" operator="between">
      <formula>#REF!</formula>
      <formula>#REF!</formula>
    </cfRule>
    <cfRule type="cellIs" dxfId="2715" priority="2760" stopIfTrue="1" operator="greaterThanOrEqual">
      <formula>#REF!</formula>
    </cfRule>
  </conditionalFormatting>
  <conditionalFormatting sqref="W692:Y692">
    <cfRule type="cellIs" dxfId="2714" priority="2755" stopIfTrue="1" operator="lessThanOrEqual">
      <formula>$I$8</formula>
    </cfRule>
    <cfRule type="cellIs" dxfId="2713" priority="2756" stopIfTrue="1" operator="between">
      <formula>$I$8</formula>
      <formula>$J$8</formula>
    </cfRule>
    <cfRule type="cellIs" dxfId="2712" priority="2757" stopIfTrue="1" operator="greaterThanOrEqual">
      <formula>$J$8</formula>
    </cfRule>
  </conditionalFormatting>
  <conditionalFormatting sqref="W692:Y692 AA692:AC692">
    <cfRule type="cellIs" dxfId="2711" priority="2752" stopIfTrue="1" operator="lessThanOrEqual">
      <formula>#REF!</formula>
    </cfRule>
    <cfRule type="cellIs" dxfId="2710" priority="2753" stopIfTrue="1" operator="between">
      <formula>#REF!</formula>
      <formula>#REF!</formula>
    </cfRule>
    <cfRule type="cellIs" dxfId="2709" priority="2754" stopIfTrue="1" operator="greaterThanOrEqual">
      <formula>#REF!</formula>
    </cfRule>
  </conditionalFormatting>
  <conditionalFormatting sqref="W698 AA698">
    <cfRule type="cellIs" dxfId="2708" priority="2746" stopIfTrue="1" operator="lessThanOrEqual">
      <formula>#REF!</formula>
    </cfRule>
    <cfRule type="cellIs" dxfId="2707" priority="2747" stopIfTrue="1" operator="between">
      <formula>#REF!</formula>
      <formula>#REF!</formula>
    </cfRule>
    <cfRule type="cellIs" dxfId="2706" priority="2748" stopIfTrue="1" operator="greaterThanOrEqual">
      <formula>#REF!</formula>
    </cfRule>
  </conditionalFormatting>
  <conditionalFormatting sqref="W701">
    <cfRule type="cellIs" dxfId="2705" priority="2740" stopIfTrue="1" operator="lessThanOrEqual">
      <formula>#REF!</formula>
    </cfRule>
    <cfRule type="cellIs" dxfId="2704" priority="2741" stopIfTrue="1" operator="between">
      <formula>#REF!</formula>
      <formula>#REF!</formula>
    </cfRule>
    <cfRule type="cellIs" dxfId="2703" priority="2742" stopIfTrue="1" operator="greaterThanOrEqual">
      <formula>#REF!</formula>
    </cfRule>
  </conditionalFormatting>
  <conditionalFormatting sqref="V707:X707">
    <cfRule type="cellIs" dxfId="2702" priority="2731" stopIfTrue="1" operator="lessThanOrEqual">
      <formula>#REF!</formula>
    </cfRule>
    <cfRule type="cellIs" dxfId="2701" priority="2732" stopIfTrue="1" operator="between">
      <formula>#REF!</formula>
      <formula>#REF!</formula>
    </cfRule>
    <cfRule type="cellIs" dxfId="2700" priority="2733" stopIfTrue="1" operator="greaterThanOrEqual">
      <formula>#REF!</formula>
    </cfRule>
  </conditionalFormatting>
  <conditionalFormatting sqref="Z707:AB707">
    <cfRule type="cellIs" dxfId="2699" priority="2725" stopIfTrue="1" operator="lessThanOrEqual">
      <formula>#REF!</formula>
    </cfRule>
    <cfRule type="cellIs" dxfId="2698" priority="2726" stopIfTrue="1" operator="between">
      <formula>#REF!</formula>
      <formula>#REF!</formula>
    </cfRule>
    <cfRule type="cellIs" dxfId="2697" priority="2727" stopIfTrue="1" operator="greaterThanOrEqual">
      <formula>#REF!</formula>
    </cfRule>
  </conditionalFormatting>
  <conditionalFormatting sqref="V710:AC710">
    <cfRule type="cellIs" dxfId="2696" priority="2719" stopIfTrue="1" operator="lessThanOrEqual">
      <formula>#REF!</formula>
    </cfRule>
    <cfRule type="cellIs" dxfId="2695" priority="2720" stopIfTrue="1" operator="between">
      <formula>#REF!</formula>
      <formula>#REF!</formula>
    </cfRule>
    <cfRule type="cellIs" dxfId="2694" priority="2721" stopIfTrue="1" operator="greaterThanOrEqual">
      <formula>#REF!</formula>
    </cfRule>
  </conditionalFormatting>
  <conditionalFormatting sqref="V344:Y344">
    <cfRule type="cellIs" dxfId="2693" priority="2716" stopIfTrue="1" operator="lessThanOrEqual">
      <formula>$I$8</formula>
    </cfRule>
    <cfRule type="cellIs" dxfId="2692" priority="2717" stopIfTrue="1" operator="between">
      <formula>$I$8</formula>
      <formula>$J$8</formula>
    </cfRule>
    <cfRule type="cellIs" dxfId="2691" priority="2718" stopIfTrue="1" operator="greaterThanOrEqual">
      <formula>$J$8</formula>
    </cfRule>
  </conditionalFormatting>
  <conditionalFormatting sqref="V344:Y344">
    <cfRule type="cellIs" dxfId="2690" priority="2713" stopIfTrue="1" operator="lessThanOrEqual">
      <formula>#REF!</formula>
    </cfRule>
    <cfRule type="cellIs" dxfId="2689" priority="2714" stopIfTrue="1" operator="between">
      <formula>#REF!</formula>
      <formula>#REF!</formula>
    </cfRule>
    <cfRule type="cellIs" dxfId="2688" priority="2715" stopIfTrue="1" operator="greaterThanOrEqual">
      <formula>#REF!</formula>
    </cfRule>
  </conditionalFormatting>
  <conditionalFormatting sqref="Z344:AC344">
    <cfRule type="cellIs" dxfId="2687" priority="2710" stopIfTrue="1" operator="lessThanOrEqual">
      <formula>$I$8</formula>
    </cfRule>
    <cfRule type="cellIs" dxfId="2686" priority="2711" stopIfTrue="1" operator="between">
      <formula>$I$8</formula>
      <formula>$J$8</formula>
    </cfRule>
    <cfRule type="cellIs" dxfId="2685" priority="2712" stopIfTrue="1" operator="greaterThanOrEqual">
      <formula>$J$8</formula>
    </cfRule>
  </conditionalFormatting>
  <conditionalFormatting sqref="Z344:AC344">
    <cfRule type="cellIs" dxfId="2684" priority="2707" stopIfTrue="1" operator="lessThanOrEqual">
      <formula>#REF!</formula>
    </cfRule>
    <cfRule type="cellIs" dxfId="2683" priority="2708" stopIfTrue="1" operator="between">
      <formula>#REF!</formula>
      <formula>#REF!</formula>
    </cfRule>
    <cfRule type="cellIs" dxfId="2682" priority="2709" stopIfTrue="1" operator="greaterThanOrEqual">
      <formula>#REF!</formula>
    </cfRule>
  </conditionalFormatting>
  <conditionalFormatting sqref="V347:Y347">
    <cfRule type="cellIs" dxfId="2681" priority="2704" stopIfTrue="1" operator="lessThanOrEqual">
      <formula>$I$8</formula>
    </cfRule>
    <cfRule type="cellIs" dxfId="2680" priority="2705" stopIfTrue="1" operator="between">
      <formula>$I$8</formula>
      <formula>$J$8</formula>
    </cfRule>
    <cfRule type="cellIs" dxfId="2679" priority="2706" stopIfTrue="1" operator="greaterThanOrEqual">
      <formula>$J$8</formula>
    </cfRule>
  </conditionalFormatting>
  <conditionalFormatting sqref="V347:Y347">
    <cfRule type="cellIs" dxfId="2678" priority="2701" stopIfTrue="1" operator="lessThanOrEqual">
      <formula>#REF!</formula>
    </cfRule>
    <cfRule type="cellIs" dxfId="2677" priority="2702" stopIfTrue="1" operator="between">
      <formula>#REF!</formula>
      <formula>#REF!</formula>
    </cfRule>
    <cfRule type="cellIs" dxfId="2676" priority="2703" stopIfTrue="1" operator="greaterThanOrEqual">
      <formula>#REF!</formula>
    </cfRule>
  </conditionalFormatting>
  <conditionalFormatting sqref="V322:AC322">
    <cfRule type="cellIs" dxfId="2675" priority="2692" stopIfTrue="1" operator="lessThanOrEqual">
      <formula>$I$8</formula>
    </cfRule>
    <cfRule type="cellIs" dxfId="2674" priority="2693" stopIfTrue="1" operator="between">
      <formula>$I$8</formula>
      <formula>$J$8</formula>
    </cfRule>
    <cfRule type="cellIs" dxfId="2673" priority="2694" stopIfTrue="1" operator="greaterThanOrEqual">
      <formula>$J$8</formula>
    </cfRule>
  </conditionalFormatting>
  <conditionalFormatting sqref="V322:AC322">
    <cfRule type="cellIs" dxfId="2672" priority="2689" stopIfTrue="1" operator="lessThanOrEqual">
      <formula>#REF!</formula>
    </cfRule>
    <cfRule type="cellIs" dxfId="2671" priority="2690" stopIfTrue="1" operator="between">
      <formula>#REF!</formula>
      <formula>#REF!</formula>
    </cfRule>
    <cfRule type="cellIs" dxfId="2670" priority="2691" stopIfTrue="1" operator="greaterThanOrEqual">
      <formula>#REF!</formula>
    </cfRule>
  </conditionalFormatting>
  <conditionalFormatting sqref="V316:AC316">
    <cfRule type="cellIs" dxfId="2669" priority="2686" stopIfTrue="1" operator="lessThanOrEqual">
      <formula>$I$8</formula>
    </cfRule>
    <cfRule type="cellIs" dxfId="2668" priority="2687" stopIfTrue="1" operator="between">
      <formula>$I$8</formula>
      <formula>$J$8</formula>
    </cfRule>
    <cfRule type="cellIs" dxfId="2667" priority="2688" stopIfTrue="1" operator="greaterThanOrEqual">
      <formula>$J$8</formula>
    </cfRule>
  </conditionalFormatting>
  <conditionalFormatting sqref="V316:AC316">
    <cfRule type="cellIs" dxfId="2666" priority="2683" stopIfTrue="1" operator="lessThanOrEqual">
      <formula>#REF!</formula>
    </cfRule>
    <cfRule type="cellIs" dxfId="2665" priority="2684" stopIfTrue="1" operator="between">
      <formula>#REF!</formula>
      <formula>#REF!</formula>
    </cfRule>
    <cfRule type="cellIs" dxfId="2664" priority="2685" stopIfTrue="1" operator="greaterThanOrEqual">
      <formula>#REF!</formula>
    </cfRule>
  </conditionalFormatting>
  <conditionalFormatting sqref="W472">
    <cfRule type="cellIs" dxfId="2663" priority="2674" stopIfTrue="1" operator="lessThanOrEqual">
      <formula>$I$8</formula>
    </cfRule>
    <cfRule type="cellIs" dxfId="2662" priority="2675" stopIfTrue="1" operator="between">
      <formula>$I$8</formula>
      <formula>$J$8</formula>
    </cfRule>
    <cfRule type="cellIs" dxfId="2661" priority="2676" stopIfTrue="1" operator="greaterThanOrEqual">
      <formula>$J$8</formula>
    </cfRule>
  </conditionalFormatting>
  <conditionalFormatting sqref="Y472">
    <cfRule type="cellIs" dxfId="2660" priority="2668" stopIfTrue="1" operator="lessThanOrEqual">
      <formula>$I$8</formula>
    </cfRule>
    <cfRule type="cellIs" dxfId="2659" priority="2669" stopIfTrue="1" operator="between">
      <formula>$I$8</formula>
      <formula>$J$8</formula>
    </cfRule>
    <cfRule type="cellIs" dxfId="2658" priority="2670" stopIfTrue="1" operator="greaterThanOrEqual">
      <formula>$J$8</formula>
    </cfRule>
  </conditionalFormatting>
  <conditionalFormatting sqref="AA472">
    <cfRule type="cellIs" dxfId="2657" priority="2662" stopIfTrue="1" operator="lessThanOrEqual">
      <formula>$I$8</formula>
    </cfRule>
    <cfRule type="cellIs" dxfId="2656" priority="2663" stopIfTrue="1" operator="between">
      <formula>$I$8</formula>
      <formula>$J$8</formula>
    </cfRule>
    <cfRule type="cellIs" dxfId="2655" priority="2664" stopIfTrue="1" operator="greaterThanOrEqual">
      <formula>$J$8</formula>
    </cfRule>
  </conditionalFormatting>
  <conditionalFormatting sqref="W640 Y640 AC640 AA640">
    <cfRule type="cellIs" dxfId="2654" priority="2626" stopIfTrue="1" operator="lessThanOrEqual">
      <formula>$I$8</formula>
    </cfRule>
    <cfRule type="cellIs" dxfId="2653" priority="2627" stopIfTrue="1" operator="between">
      <formula>$I$8</formula>
      <formula>$J$8</formula>
    </cfRule>
    <cfRule type="cellIs" dxfId="2652" priority="2628" stopIfTrue="1" operator="greaterThanOrEqual">
      <formula>$J$8</formula>
    </cfRule>
  </conditionalFormatting>
  <conditionalFormatting sqref="V643 X643:Y643">
    <cfRule type="cellIs" dxfId="2651" priority="2620" stopIfTrue="1" operator="lessThanOrEqual">
      <formula>$I$8</formula>
    </cfRule>
    <cfRule type="cellIs" dxfId="2650" priority="2621" stopIfTrue="1" operator="between">
      <formula>$I$8</formula>
      <formula>$J$8</formula>
    </cfRule>
    <cfRule type="cellIs" dxfId="2649" priority="2622" stopIfTrue="1" operator="greaterThanOrEqual">
      <formula>$J$8</formula>
    </cfRule>
  </conditionalFormatting>
  <conditionalFormatting sqref="AC472">
    <cfRule type="cellIs" dxfId="2648" priority="2656" stopIfTrue="1" operator="lessThanOrEqual">
      <formula>$I$8</formula>
    </cfRule>
    <cfRule type="cellIs" dxfId="2647" priority="2657" stopIfTrue="1" operator="between">
      <formula>$I$8</formula>
      <formula>$J$8</formula>
    </cfRule>
    <cfRule type="cellIs" dxfId="2646" priority="2658" stopIfTrue="1" operator="greaterThanOrEqual">
      <formula>$J$8</formula>
    </cfRule>
  </conditionalFormatting>
  <conditionalFormatting sqref="W649 AA649">
    <cfRule type="cellIs" dxfId="2645" priority="2608" stopIfTrue="1" operator="lessThanOrEqual">
      <formula>$I$8</formula>
    </cfRule>
    <cfRule type="cellIs" dxfId="2644" priority="2609" stopIfTrue="1" operator="between">
      <formula>$I$8</formula>
      <formula>$J$8</formula>
    </cfRule>
    <cfRule type="cellIs" dxfId="2643" priority="2610" stopIfTrue="1" operator="greaterThanOrEqual">
      <formula>$J$8</formula>
    </cfRule>
  </conditionalFormatting>
  <conditionalFormatting sqref="BD629">
    <cfRule type="cellIs" dxfId="2642" priority="2638" stopIfTrue="1" operator="lessThanOrEqual">
      <formula>$I$8</formula>
    </cfRule>
    <cfRule type="cellIs" dxfId="2641" priority="2639" stopIfTrue="1" operator="between">
      <formula>$I$8</formula>
      <formula>$J$8</formula>
    </cfRule>
    <cfRule type="cellIs" dxfId="2640" priority="2640" stopIfTrue="1" operator="greaterThanOrEqual">
      <formula>$J$8</formula>
    </cfRule>
  </conditionalFormatting>
  <conditionalFormatting sqref="BD409">
    <cfRule type="cellIs" dxfId="2639" priority="2602" stopIfTrue="1" operator="lessThanOrEqual">
      <formula>$I$8</formula>
    </cfRule>
    <cfRule type="cellIs" dxfId="2638" priority="2603" stopIfTrue="1" operator="between">
      <formula>$I$8</formula>
      <formula>$J$8</formula>
    </cfRule>
    <cfRule type="cellIs" dxfId="2637" priority="2604" stopIfTrue="1" operator="greaterThanOrEqual">
      <formula>$J$8</formula>
    </cfRule>
  </conditionalFormatting>
  <conditionalFormatting sqref="Y466">
    <cfRule type="cellIs" dxfId="2636" priority="2680" stopIfTrue="1" operator="lessThanOrEqual">
      <formula>$I$8</formula>
    </cfRule>
    <cfRule type="cellIs" dxfId="2635" priority="2681" stopIfTrue="1" operator="between">
      <formula>$I$8</formula>
      <formula>$J$8</formula>
    </cfRule>
    <cfRule type="cellIs" dxfId="2634" priority="2682" stopIfTrue="1" operator="greaterThanOrEqual">
      <formula>$J$8</formula>
    </cfRule>
  </conditionalFormatting>
  <conditionalFormatting sqref="W640 Y640 AC640 AA640">
    <cfRule type="cellIs" dxfId="2633" priority="2623" stopIfTrue="1" operator="lessThanOrEqual">
      <formula>#REF!</formula>
    </cfRule>
    <cfRule type="cellIs" dxfId="2632" priority="2624" stopIfTrue="1" operator="between">
      <formula>#REF!</formula>
      <formula>#REF!</formula>
    </cfRule>
    <cfRule type="cellIs" dxfId="2631" priority="2625" stopIfTrue="1" operator="greaterThanOrEqual">
      <formula>#REF!</formula>
    </cfRule>
  </conditionalFormatting>
  <conditionalFormatting sqref="V643 X643:Y643">
    <cfRule type="cellIs" dxfId="2630" priority="2617" stopIfTrue="1" operator="lessThanOrEqual">
      <formula>#REF!</formula>
    </cfRule>
    <cfRule type="cellIs" dxfId="2629" priority="2618" stopIfTrue="1" operator="between">
      <formula>#REF!</formula>
      <formula>#REF!</formula>
    </cfRule>
    <cfRule type="cellIs" dxfId="2628" priority="2619" stopIfTrue="1" operator="greaterThanOrEqual">
      <formula>#REF!</formula>
    </cfRule>
  </conditionalFormatting>
  <conditionalFormatting sqref="V646 X646:AC646">
    <cfRule type="cellIs" dxfId="2627" priority="2611" stopIfTrue="1" operator="lessThanOrEqual">
      <formula>#REF!</formula>
    </cfRule>
    <cfRule type="cellIs" dxfId="2626" priority="2612" stopIfTrue="1" operator="between">
      <formula>#REF!</formula>
      <formula>#REF!</formula>
    </cfRule>
    <cfRule type="cellIs" dxfId="2625" priority="2613" stopIfTrue="1" operator="greaterThanOrEqual">
      <formula>#REF!</formula>
    </cfRule>
  </conditionalFormatting>
  <conditionalFormatting sqref="W649 AA649">
    <cfRule type="cellIs" dxfId="2624" priority="2605" stopIfTrue="1" operator="lessThanOrEqual">
      <formula>#REF!</formula>
    </cfRule>
    <cfRule type="cellIs" dxfId="2623" priority="2606" stopIfTrue="1" operator="between">
      <formula>#REF!</formula>
      <formula>#REF!</formula>
    </cfRule>
    <cfRule type="cellIs" dxfId="2622" priority="2607" stopIfTrue="1" operator="greaterThanOrEqual">
      <formula>#REF!</formula>
    </cfRule>
  </conditionalFormatting>
  <conditionalFormatting sqref="V646 X646:AC646">
    <cfRule type="cellIs" dxfId="2621" priority="2614" stopIfTrue="1" operator="lessThanOrEqual">
      <formula>$I$8</formula>
    </cfRule>
    <cfRule type="cellIs" dxfId="2620" priority="2615" stopIfTrue="1" operator="between">
      <formula>$I$8</formula>
      <formula>$J$8</formula>
    </cfRule>
    <cfRule type="cellIs" dxfId="2619" priority="2616" stopIfTrue="1" operator="greaterThanOrEqual">
      <formula>$J$8</formula>
    </cfRule>
  </conditionalFormatting>
  <conditionalFormatting sqref="BD409">
    <cfRule type="cellIs" dxfId="2618" priority="2599" stopIfTrue="1" operator="lessThanOrEqual">
      <formula>#REF!</formula>
    </cfRule>
    <cfRule type="cellIs" dxfId="2617" priority="2600" stopIfTrue="1" operator="between">
      <formula>#REF!</formula>
      <formula>#REF!</formula>
    </cfRule>
    <cfRule type="cellIs" dxfId="2616" priority="2601" stopIfTrue="1" operator="greaterThanOrEqual">
      <formula>#REF!</formula>
    </cfRule>
  </conditionalFormatting>
  <conditionalFormatting sqref="W472">
    <cfRule type="cellIs" dxfId="2615" priority="2671" stopIfTrue="1" operator="lessThanOrEqual">
      <formula>#REF!</formula>
    </cfRule>
    <cfRule type="cellIs" dxfId="2614" priority="2672" stopIfTrue="1" operator="between">
      <formula>#REF!</formula>
      <formula>#REF!</formula>
    </cfRule>
    <cfRule type="cellIs" dxfId="2613" priority="2673" stopIfTrue="1" operator="greaterThanOrEqual">
      <formula>#REF!</formula>
    </cfRule>
  </conditionalFormatting>
  <conditionalFormatting sqref="Y472">
    <cfRule type="cellIs" dxfId="2612" priority="2665" stopIfTrue="1" operator="lessThanOrEqual">
      <formula>#REF!</formula>
    </cfRule>
    <cfRule type="cellIs" dxfId="2611" priority="2666" stopIfTrue="1" operator="between">
      <formula>#REF!</formula>
      <formula>#REF!</formula>
    </cfRule>
    <cfRule type="cellIs" dxfId="2610" priority="2667" stopIfTrue="1" operator="greaterThanOrEqual">
      <formula>#REF!</formula>
    </cfRule>
  </conditionalFormatting>
  <conditionalFormatting sqref="AA472">
    <cfRule type="cellIs" dxfId="2609" priority="2659" stopIfTrue="1" operator="lessThanOrEqual">
      <formula>#REF!</formula>
    </cfRule>
    <cfRule type="cellIs" dxfId="2608" priority="2660" stopIfTrue="1" operator="between">
      <formula>#REF!</formula>
      <formula>#REF!</formula>
    </cfRule>
    <cfRule type="cellIs" dxfId="2607" priority="2661" stopIfTrue="1" operator="greaterThanOrEqual">
      <formula>#REF!</formula>
    </cfRule>
  </conditionalFormatting>
  <conditionalFormatting sqref="Y466">
    <cfRule type="cellIs" dxfId="2606" priority="2677" stopIfTrue="1" operator="lessThanOrEqual">
      <formula>#REF!</formula>
    </cfRule>
    <cfRule type="cellIs" dxfId="2605" priority="2678" stopIfTrue="1" operator="between">
      <formula>#REF!</formula>
      <formula>#REF!</formula>
    </cfRule>
    <cfRule type="cellIs" dxfId="2604" priority="2679" stopIfTrue="1" operator="greaterThanOrEqual">
      <formula>#REF!</formula>
    </cfRule>
  </conditionalFormatting>
  <conditionalFormatting sqref="AC472">
    <cfRule type="cellIs" dxfId="2603" priority="2653" stopIfTrue="1" operator="lessThanOrEqual">
      <formula>#REF!</formula>
    </cfRule>
    <cfRule type="cellIs" dxfId="2602" priority="2654" stopIfTrue="1" operator="between">
      <formula>#REF!</formula>
      <formula>#REF!</formula>
    </cfRule>
    <cfRule type="cellIs" dxfId="2601" priority="2655" stopIfTrue="1" operator="greaterThanOrEqual">
      <formula>#REF!</formula>
    </cfRule>
  </conditionalFormatting>
  <conditionalFormatting sqref="W637 Y637 AA637 AC637">
    <cfRule type="cellIs" dxfId="2600" priority="2641" stopIfTrue="1" operator="lessThanOrEqual">
      <formula>#REF!</formula>
    </cfRule>
    <cfRule type="cellIs" dxfId="2599" priority="2642" stopIfTrue="1" operator="between">
      <formula>#REF!</formula>
      <formula>#REF!</formula>
    </cfRule>
    <cfRule type="cellIs" dxfId="2598" priority="2643" stopIfTrue="1" operator="greaterThanOrEqual">
      <formula>#REF!</formula>
    </cfRule>
  </conditionalFormatting>
  <conditionalFormatting sqref="W631 Y631 AA631 AC631">
    <cfRule type="cellIs" dxfId="2597" priority="2647" stopIfTrue="1" operator="lessThanOrEqual">
      <formula>#REF!</formula>
    </cfRule>
    <cfRule type="cellIs" dxfId="2596" priority="2648" stopIfTrue="1" operator="between">
      <formula>#REF!</formula>
      <formula>#REF!</formula>
    </cfRule>
    <cfRule type="cellIs" dxfId="2595" priority="2649" stopIfTrue="1" operator="greaterThanOrEqual">
      <formula>#REF!</formula>
    </cfRule>
  </conditionalFormatting>
  <conditionalFormatting sqref="BD629">
    <cfRule type="cellIs" dxfId="2594" priority="2635" stopIfTrue="1" operator="lessThanOrEqual">
      <formula>#REF!</formula>
    </cfRule>
    <cfRule type="cellIs" dxfId="2593" priority="2636" stopIfTrue="1" operator="between">
      <formula>#REF!</formula>
      <formula>#REF!</formula>
    </cfRule>
    <cfRule type="cellIs" dxfId="2592" priority="2637" stopIfTrue="1" operator="greaterThanOrEqual">
      <formula>#REF!</formula>
    </cfRule>
  </conditionalFormatting>
  <conditionalFormatting sqref="V665:AC665">
    <cfRule type="cellIs" dxfId="2591" priority="2590" stopIfTrue="1" operator="lessThanOrEqual">
      <formula>$I$8</formula>
    </cfRule>
    <cfRule type="cellIs" dxfId="2590" priority="2591" stopIfTrue="1" operator="between">
      <formula>$I$8</formula>
      <formula>$J$8</formula>
    </cfRule>
    <cfRule type="cellIs" dxfId="2589" priority="2592" stopIfTrue="1" operator="greaterThanOrEqual">
      <formula>$J$8</formula>
    </cfRule>
  </conditionalFormatting>
  <conditionalFormatting sqref="AU126:BB126">
    <cfRule type="cellIs" dxfId="2588" priority="2596" stopIfTrue="1" operator="lessThanOrEqual">
      <formula>$I$8</formula>
    </cfRule>
    <cfRule type="cellIs" dxfId="2587" priority="2597" stopIfTrue="1" operator="between">
      <formula>$I$8</formula>
      <formula>$J$8</formula>
    </cfRule>
    <cfRule type="cellIs" dxfId="2586" priority="2598" stopIfTrue="1" operator="greaterThanOrEqual">
      <formula>$J$8</formula>
    </cfRule>
  </conditionalFormatting>
  <conditionalFormatting sqref="AU126:BB126">
    <cfRule type="cellIs" dxfId="2585" priority="2593" stopIfTrue="1" operator="lessThanOrEqual">
      <formula>#REF!</formula>
    </cfRule>
    <cfRule type="cellIs" dxfId="2584" priority="2594" stopIfTrue="1" operator="between">
      <formula>#REF!</formula>
      <formula>#REF!</formula>
    </cfRule>
    <cfRule type="cellIs" dxfId="2583" priority="2595" stopIfTrue="1" operator="greaterThanOrEqual">
      <formula>#REF!</formula>
    </cfRule>
  </conditionalFormatting>
  <conditionalFormatting sqref="BD663">
    <cfRule type="cellIs" dxfId="2582" priority="2578" stopIfTrue="1" operator="lessThanOrEqual">
      <formula>$I$8</formula>
    </cfRule>
    <cfRule type="cellIs" dxfId="2581" priority="2579" stopIfTrue="1" operator="between">
      <formula>$I$8</formula>
      <formula>$J$8</formula>
    </cfRule>
    <cfRule type="cellIs" dxfId="2580" priority="2580" stopIfTrue="1" operator="greaterThanOrEqual">
      <formula>$J$8</formula>
    </cfRule>
  </conditionalFormatting>
  <conditionalFormatting sqref="V668:AC668">
    <cfRule type="cellIs" dxfId="2579" priority="2584" stopIfTrue="1" operator="lessThanOrEqual">
      <formula>$I$8</formula>
    </cfRule>
    <cfRule type="cellIs" dxfId="2578" priority="2585" stopIfTrue="1" operator="between">
      <formula>$I$8</formula>
      <formula>$J$8</formula>
    </cfRule>
    <cfRule type="cellIs" dxfId="2577" priority="2586" stopIfTrue="1" operator="greaterThanOrEqual">
      <formula>$J$8</formula>
    </cfRule>
  </conditionalFormatting>
  <conditionalFormatting sqref="V665:AC665">
    <cfRule type="cellIs" dxfId="2576" priority="2587" stopIfTrue="1" operator="lessThanOrEqual">
      <formula>#REF!</formula>
    </cfRule>
    <cfRule type="cellIs" dxfId="2575" priority="2588" stopIfTrue="1" operator="between">
      <formula>#REF!</formula>
      <formula>#REF!</formula>
    </cfRule>
    <cfRule type="cellIs" dxfId="2574" priority="2589" stopIfTrue="1" operator="greaterThanOrEqual">
      <formula>#REF!</formula>
    </cfRule>
  </conditionalFormatting>
  <conditionalFormatting sqref="V668:AC668">
    <cfRule type="cellIs" dxfId="2573" priority="2581" stopIfTrue="1" operator="lessThanOrEqual">
      <formula>#REF!</formula>
    </cfRule>
    <cfRule type="cellIs" dxfId="2572" priority="2582" stopIfTrue="1" operator="between">
      <formula>#REF!</formula>
      <formula>#REF!</formula>
    </cfRule>
    <cfRule type="cellIs" dxfId="2571" priority="2583" stopIfTrue="1" operator="greaterThanOrEqual">
      <formula>#REF!</formula>
    </cfRule>
  </conditionalFormatting>
  <conditionalFormatting sqref="BD663">
    <cfRule type="cellIs" dxfId="2570" priority="2575" stopIfTrue="1" operator="lessThanOrEqual">
      <formula>#REF!</formula>
    </cfRule>
    <cfRule type="cellIs" dxfId="2569" priority="2576" stopIfTrue="1" operator="between">
      <formula>#REF!</formula>
      <formula>#REF!</formula>
    </cfRule>
    <cfRule type="cellIs" dxfId="2568" priority="2577" stopIfTrue="1" operator="greaterThanOrEqual">
      <formula>#REF!</formula>
    </cfRule>
  </conditionalFormatting>
  <conditionalFormatting sqref="Y350">
    <cfRule type="cellIs" dxfId="2567" priority="2572" stopIfTrue="1" operator="lessThanOrEqual">
      <formula>$I$8</formula>
    </cfRule>
    <cfRule type="cellIs" dxfId="2566" priority="2573" stopIfTrue="1" operator="between">
      <formula>$I$8</formula>
      <formula>$J$8</formula>
    </cfRule>
    <cfRule type="cellIs" dxfId="2565" priority="2574" stopIfTrue="1" operator="greaterThanOrEqual">
      <formula>$J$8</formula>
    </cfRule>
  </conditionalFormatting>
  <conditionalFormatting sqref="AC350">
    <cfRule type="cellIs" dxfId="2564" priority="2566" stopIfTrue="1" operator="lessThanOrEqual">
      <formula>$I$8</formula>
    </cfRule>
    <cfRule type="cellIs" dxfId="2563" priority="2567" stopIfTrue="1" operator="between">
      <formula>$I$8</formula>
      <formula>$J$8</formula>
    </cfRule>
    <cfRule type="cellIs" dxfId="2562" priority="2568" stopIfTrue="1" operator="greaterThanOrEqual">
      <formula>$J$8</formula>
    </cfRule>
  </conditionalFormatting>
  <conditionalFormatting sqref="Y353">
    <cfRule type="cellIs" dxfId="2561" priority="2560" stopIfTrue="1" operator="lessThanOrEqual">
      <formula>$I$8</formula>
    </cfRule>
    <cfRule type="cellIs" dxfId="2560" priority="2561" stopIfTrue="1" operator="between">
      <formula>$I$8</formula>
      <formula>$J$8</formula>
    </cfRule>
    <cfRule type="cellIs" dxfId="2559" priority="2562" stopIfTrue="1" operator="greaterThanOrEqual">
      <formula>$J$8</formula>
    </cfRule>
  </conditionalFormatting>
  <conditionalFormatting sqref="AC353">
    <cfRule type="cellIs" dxfId="2558" priority="2554" stopIfTrue="1" operator="lessThanOrEqual">
      <formula>$I$8</formula>
    </cfRule>
    <cfRule type="cellIs" dxfId="2557" priority="2555" stopIfTrue="1" operator="between">
      <formula>$I$8</formula>
      <formula>$J$8</formula>
    </cfRule>
    <cfRule type="cellIs" dxfId="2556" priority="2556" stopIfTrue="1" operator="greaterThanOrEqual">
      <formula>$J$8</formula>
    </cfRule>
  </conditionalFormatting>
  <conditionalFormatting sqref="V356:AC356">
    <cfRule type="cellIs" dxfId="2555" priority="2548" stopIfTrue="1" operator="lessThanOrEqual">
      <formula>$I$8</formula>
    </cfRule>
    <cfRule type="cellIs" dxfId="2554" priority="2549" stopIfTrue="1" operator="between">
      <formula>$I$8</formula>
      <formula>$J$8</formula>
    </cfRule>
    <cfRule type="cellIs" dxfId="2553" priority="2550" stopIfTrue="1" operator="greaterThanOrEqual">
      <formula>$J$8</formula>
    </cfRule>
  </conditionalFormatting>
  <conditionalFormatting sqref="BD486">
    <cfRule type="cellIs" dxfId="2552" priority="2542" stopIfTrue="1" operator="lessThanOrEqual">
      <formula>$I$8</formula>
    </cfRule>
    <cfRule type="cellIs" dxfId="2551" priority="2543" stopIfTrue="1" operator="between">
      <formula>$I$8</formula>
      <formula>$J$8</formula>
    </cfRule>
    <cfRule type="cellIs" dxfId="2550" priority="2544" stopIfTrue="1" operator="greaterThanOrEqual">
      <formula>$J$8</formula>
    </cfRule>
  </conditionalFormatting>
  <conditionalFormatting sqref="V527:AC527">
    <cfRule type="cellIs" dxfId="2549" priority="2470" stopIfTrue="1" operator="lessThanOrEqual">
      <formula>$I$8</formula>
    </cfRule>
    <cfRule type="cellIs" dxfId="2548" priority="2471" stopIfTrue="1" operator="between">
      <formula>$I$8</formula>
      <formula>$J$8</formula>
    </cfRule>
    <cfRule type="cellIs" dxfId="2547" priority="2472" stopIfTrue="1" operator="greaterThanOrEqual">
      <formula>$J$8</formula>
    </cfRule>
  </conditionalFormatting>
  <conditionalFormatting sqref="V527:AC527">
    <cfRule type="cellIs" dxfId="2546" priority="2467" stopIfTrue="1" operator="lessThanOrEqual">
      <formula>#REF!</formula>
    </cfRule>
    <cfRule type="cellIs" dxfId="2545" priority="2468" stopIfTrue="1" operator="between">
      <formula>#REF!</formula>
      <formula>#REF!</formula>
    </cfRule>
    <cfRule type="cellIs" dxfId="2544" priority="2469" stopIfTrue="1" operator="greaterThanOrEqual">
      <formula>#REF!</formula>
    </cfRule>
  </conditionalFormatting>
  <conditionalFormatting sqref="Y491">
    <cfRule type="cellIs" dxfId="2543" priority="2536" stopIfTrue="1" operator="lessThanOrEqual">
      <formula>$I$8</formula>
    </cfRule>
    <cfRule type="cellIs" dxfId="2542" priority="2537" stopIfTrue="1" operator="between">
      <formula>$I$8</formula>
      <formula>$J$8</formula>
    </cfRule>
    <cfRule type="cellIs" dxfId="2541" priority="2538" stopIfTrue="1" operator="greaterThanOrEqual">
      <formula>$J$8</formula>
    </cfRule>
  </conditionalFormatting>
  <conditionalFormatting sqref="W512:Y512 AA512:AC512">
    <cfRule type="cellIs" dxfId="2540" priority="2512" stopIfTrue="1" operator="lessThanOrEqual">
      <formula>$I$8</formula>
    </cfRule>
    <cfRule type="cellIs" dxfId="2539" priority="2513" stopIfTrue="1" operator="between">
      <formula>$I$8</formula>
      <formula>$J$8</formula>
    </cfRule>
    <cfRule type="cellIs" dxfId="2538" priority="2514" stopIfTrue="1" operator="greaterThanOrEqual">
      <formula>$J$8</formula>
    </cfRule>
  </conditionalFormatting>
  <conditionalFormatting sqref="W524">
    <cfRule type="cellIs" dxfId="2537" priority="2500" stopIfTrue="1" operator="lessThanOrEqual">
      <formula>$I$8</formula>
    </cfRule>
    <cfRule type="cellIs" dxfId="2536" priority="2501" stopIfTrue="1" operator="between">
      <formula>$I$8</formula>
      <formula>$J$8</formula>
    </cfRule>
    <cfRule type="cellIs" dxfId="2535" priority="2502" stopIfTrue="1" operator="greaterThanOrEqual">
      <formula>$J$8</formula>
    </cfRule>
  </conditionalFormatting>
  <conditionalFormatting sqref="Y494">
    <cfRule type="cellIs" dxfId="2534" priority="2530" stopIfTrue="1" operator="lessThanOrEqual">
      <formula>$I$8</formula>
    </cfRule>
    <cfRule type="cellIs" dxfId="2533" priority="2531" stopIfTrue="1" operator="between">
      <formula>$I$8</formula>
      <formula>$J$8</formula>
    </cfRule>
    <cfRule type="cellIs" dxfId="2532" priority="2532" stopIfTrue="1" operator="greaterThanOrEqual">
      <formula>$J$8</formula>
    </cfRule>
  </conditionalFormatting>
  <conditionalFormatting sqref="V497:AC497">
    <cfRule type="cellIs" dxfId="2531" priority="2524" stopIfTrue="1" operator="lessThanOrEqual">
      <formula>$I$8</formula>
    </cfRule>
    <cfRule type="cellIs" dxfId="2530" priority="2525" stopIfTrue="1" operator="between">
      <formula>$I$8</formula>
      <formula>$J$8</formula>
    </cfRule>
    <cfRule type="cellIs" dxfId="2529" priority="2526" stopIfTrue="1" operator="greaterThanOrEqual">
      <formula>$J$8</formula>
    </cfRule>
  </conditionalFormatting>
  <conditionalFormatting sqref="V500:AC500">
    <cfRule type="cellIs" dxfId="2528" priority="2518" stopIfTrue="1" operator="lessThanOrEqual">
      <formula>$I$8</formula>
    </cfRule>
    <cfRule type="cellIs" dxfId="2527" priority="2519" stopIfTrue="1" operator="between">
      <formula>$I$8</formula>
      <formula>$J$8</formula>
    </cfRule>
    <cfRule type="cellIs" dxfId="2526" priority="2520" stopIfTrue="1" operator="greaterThanOrEqual">
      <formula>$J$8</formula>
    </cfRule>
  </conditionalFormatting>
  <conditionalFormatting sqref="V521:AC521">
    <cfRule type="cellIs" dxfId="2525" priority="2506" stopIfTrue="1" operator="lessThanOrEqual">
      <formula>$I$8</formula>
    </cfRule>
    <cfRule type="cellIs" dxfId="2524" priority="2507" stopIfTrue="1" operator="between">
      <formula>$I$8</formula>
      <formula>$J$8</formula>
    </cfRule>
    <cfRule type="cellIs" dxfId="2523" priority="2508" stopIfTrue="1" operator="greaterThanOrEqual">
      <formula>$J$8</formula>
    </cfRule>
  </conditionalFormatting>
  <conditionalFormatting sqref="V530:AC530">
    <cfRule type="cellIs" dxfId="2522" priority="2494" stopIfTrue="1" operator="lessThanOrEqual">
      <formula>$I$8</formula>
    </cfRule>
    <cfRule type="cellIs" dxfId="2521" priority="2495" stopIfTrue="1" operator="between">
      <formula>$I$8</formula>
      <formula>$J$8</formula>
    </cfRule>
    <cfRule type="cellIs" dxfId="2520" priority="2496" stopIfTrue="1" operator="greaterThanOrEqual">
      <formula>$J$8</formula>
    </cfRule>
  </conditionalFormatting>
  <conditionalFormatting sqref="V533:AC533">
    <cfRule type="cellIs" dxfId="2519" priority="2488" stopIfTrue="1" operator="lessThanOrEqual">
      <formula>$I$8</formula>
    </cfRule>
    <cfRule type="cellIs" dxfId="2518" priority="2489" stopIfTrue="1" operator="between">
      <formula>$I$8</formula>
      <formula>$J$8</formula>
    </cfRule>
    <cfRule type="cellIs" dxfId="2517" priority="2490" stopIfTrue="1" operator="greaterThanOrEqual">
      <formula>$J$8</formula>
    </cfRule>
  </conditionalFormatting>
  <conditionalFormatting sqref="W536">
    <cfRule type="cellIs" dxfId="2516" priority="2482" stopIfTrue="1" operator="lessThanOrEqual">
      <formula>$I$8</formula>
    </cfRule>
    <cfRule type="cellIs" dxfId="2515" priority="2483" stopIfTrue="1" operator="between">
      <formula>$I$8</formula>
      <formula>$J$8</formula>
    </cfRule>
    <cfRule type="cellIs" dxfId="2514" priority="2484" stopIfTrue="1" operator="greaterThanOrEqual">
      <formula>$J$8</formula>
    </cfRule>
  </conditionalFormatting>
  <conditionalFormatting sqref="V488:AC488">
    <cfRule type="cellIs" dxfId="2513" priority="2476" stopIfTrue="1" operator="lessThanOrEqual">
      <formula>$I$8</formula>
    </cfRule>
    <cfRule type="cellIs" dxfId="2512" priority="2477" stopIfTrue="1" operator="between">
      <formula>$I$8</formula>
      <formula>$J$8</formula>
    </cfRule>
    <cfRule type="cellIs" dxfId="2511" priority="2478" stopIfTrue="1" operator="greaterThanOrEqual">
      <formula>$J$8</formula>
    </cfRule>
  </conditionalFormatting>
  <conditionalFormatting sqref="Z187:AC187">
    <cfRule type="cellIs" dxfId="2510" priority="2272" stopIfTrue="1" operator="lessThanOrEqual">
      <formula>$I$8</formula>
    </cfRule>
    <cfRule type="cellIs" dxfId="2509" priority="2273" stopIfTrue="1" operator="between">
      <formula>$I$8</formula>
      <formula>$J$8</formula>
    </cfRule>
    <cfRule type="cellIs" dxfId="2508" priority="2274" stopIfTrue="1" operator="greaterThanOrEqual">
      <formula>$J$8</formula>
    </cfRule>
  </conditionalFormatting>
  <conditionalFormatting sqref="V389:AC389">
    <cfRule type="cellIs" dxfId="2507" priority="2233" stopIfTrue="1" operator="lessThanOrEqual">
      <formula>$I$8</formula>
    </cfRule>
    <cfRule type="cellIs" dxfId="2506" priority="2234" stopIfTrue="1" operator="between">
      <formula>$I$8</formula>
      <formula>$J$8</formula>
    </cfRule>
    <cfRule type="cellIs" dxfId="2505" priority="2235" stopIfTrue="1" operator="greaterThanOrEqual">
      <formula>$J$8</formula>
    </cfRule>
  </conditionalFormatting>
  <conditionalFormatting sqref="V187:Y187">
    <cfRule type="cellIs" dxfId="2504" priority="2278" stopIfTrue="1" operator="lessThanOrEqual">
      <formula>$I$8</formula>
    </cfRule>
    <cfRule type="cellIs" dxfId="2503" priority="2279" stopIfTrue="1" operator="between">
      <formula>$I$8</formula>
      <formula>$J$8</formula>
    </cfRule>
    <cfRule type="cellIs" dxfId="2502" priority="2280" stopIfTrue="1" operator="greaterThanOrEqual">
      <formula>$J$8</formula>
    </cfRule>
  </conditionalFormatting>
  <conditionalFormatting sqref="Y350">
    <cfRule type="cellIs" dxfId="2501" priority="2569" stopIfTrue="1" operator="lessThanOrEqual">
      <formula>#REF!</formula>
    </cfRule>
    <cfRule type="cellIs" dxfId="2500" priority="2570" stopIfTrue="1" operator="between">
      <formula>#REF!</formula>
      <formula>#REF!</formula>
    </cfRule>
    <cfRule type="cellIs" dxfId="2499" priority="2571" stopIfTrue="1" operator="greaterThanOrEqual">
      <formula>#REF!</formula>
    </cfRule>
  </conditionalFormatting>
  <conditionalFormatting sqref="AC350">
    <cfRule type="cellIs" dxfId="2498" priority="2563" stopIfTrue="1" operator="lessThanOrEqual">
      <formula>#REF!</formula>
    </cfRule>
    <cfRule type="cellIs" dxfId="2497" priority="2564" stopIfTrue="1" operator="between">
      <formula>#REF!</formula>
      <formula>#REF!</formula>
    </cfRule>
    <cfRule type="cellIs" dxfId="2496" priority="2565" stopIfTrue="1" operator="greaterThanOrEqual">
      <formula>#REF!</formula>
    </cfRule>
  </conditionalFormatting>
  <conditionalFormatting sqref="V190:X190">
    <cfRule type="cellIs" dxfId="2495" priority="2266" stopIfTrue="1" operator="lessThanOrEqual">
      <formula>$I$8</formula>
    </cfRule>
    <cfRule type="cellIs" dxfId="2494" priority="2267" stopIfTrue="1" operator="between">
      <formula>$I$8</formula>
      <formula>$J$8</formula>
    </cfRule>
    <cfRule type="cellIs" dxfId="2493" priority="2268" stopIfTrue="1" operator="greaterThanOrEqual">
      <formula>$J$8</formula>
    </cfRule>
  </conditionalFormatting>
  <conditionalFormatting sqref="Y353">
    <cfRule type="cellIs" dxfId="2492" priority="2557" stopIfTrue="1" operator="lessThanOrEqual">
      <formula>#REF!</formula>
    </cfRule>
    <cfRule type="cellIs" dxfId="2491" priority="2558" stopIfTrue="1" operator="between">
      <formula>#REF!</formula>
      <formula>#REF!</formula>
    </cfRule>
    <cfRule type="cellIs" dxfId="2490" priority="2559" stopIfTrue="1" operator="greaterThanOrEqual">
      <formula>#REF!</formula>
    </cfRule>
  </conditionalFormatting>
  <conditionalFormatting sqref="Z190:AB190">
    <cfRule type="cellIs" dxfId="2489" priority="2260" stopIfTrue="1" operator="lessThanOrEqual">
      <formula>$I$8</formula>
    </cfRule>
    <cfRule type="cellIs" dxfId="2488" priority="2261" stopIfTrue="1" operator="between">
      <formula>$I$8</formula>
      <formula>$J$8</formula>
    </cfRule>
    <cfRule type="cellIs" dxfId="2487" priority="2262" stopIfTrue="1" operator="greaterThanOrEqual">
      <formula>$J$8</formula>
    </cfRule>
  </conditionalFormatting>
  <conditionalFormatting sqref="AC353">
    <cfRule type="cellIs" dxfId="2486" priority="2551" stopIfTrue="1" operator="lessThanOrEqual">
      <formula>#REF!</formula>
    </cfRule>
    <cfRule type="cellIs" dxfId="2485" priority="2552" stopIfTrue="1" operator="between">
      <formula>#REF!</formula>
      <formula>#REF!</formula>
    </cfRule>
    <cfRule type="cellIs" dxfId="2484" priority="2553" stopIfTrue="1" operator="greaterThanOrEqual">
      <formula>#REF!</formula>
    </cfRule>
  </conditionalFormatting>
  <conditionalFormatting sqref="V356:AC356">
    <cfRule type="cellIs" dxfId="2483" priority="2545" stopIfTrue="1" operator="lessThanOrEqual">
      <formula>#REF!</formula>
    </cfRule>
    <cfRule type="cellIs" dxfId="2482" priority="2546" stopIfTrue="1" operator="between">
      <formula>#REF!</formula>
      <formula>#REF!</formula>
    </cfRule>
    <cfRule type="cellIs" dxfId="2481" priority="2547" stopIfTrue="1" operator="greaterThanOrEqual">
      <formula>#REF!</formula>
    </cfRule>
  </conditionalFormatting>
  <conditionalFormatting sqref="W392">
    <cfRule type="cellIs" dxfId="2480" priority="2215" stopIfTrue="1" operator="lessThanOrEqual">
      <formula>$I$8</formula>
    </cfRule>
    <cfRule type="cellIs" dxfId="2479" priority="2216" stopIfTrue="1" operator="between">
      <formula>$I$8</formula>
      <formula>$J$8</formula>
    </cfRule>
    <cfRule type="cellIs" dxfId="2478" priority="2217" stopIfTrue="1" operator="greaterThanOrEqual">
      <formula>$J$8</formula>
    </cfRule>
  </conditionalFormatting>
  <conditionalFormatting sqref="BD486">
    <cfRule type="cellIs" dxfId="2477" priority="2539" stopIfTrue="1" operator="lessThanOrEqual">
      <formula>#REF!</formula>
    </cfRule>
    <cfRule type="cellIs" dxfId="2476" priority="2540" stopIfTrue="1" operator="between">
      <formula>#REF!</formula>
      <formula>#REF!</formula>
    </cfRule>
    <cfRule type="cellIs" dxfId="2475" priority="2541" stopIfTrue="1" operator="greaterThanOrEqual">
      <formula>#REF!</formula>
    </cfRule>
  </conditionalFormatting>
  <conditionalFormatting sqref="V395:AC395">
    <cfRule type="cellIs" dxfId="2474" priority="2227" stopIfTrue="1" operator="lessThanOrEqual">
      <formula>$I$8</formula>
    </cfRule>
    <cfRule type="cellIs" dxfId="2473" priority="2228" stopIfTrue="1" operator="between">
      <formula>$I$8</formula>
      <formula>$J$8</formula>
    </cfRule>
    <cfRule type="cellIs" dxfId="2472" priority="2229" stopIfTrue="1" operator="greaterThanOrEqual">
      <formula>$J$8</formula>
    </cfRule>
  </conditionalFormatting>
  <conditionalFormatting sqref="V377:AC377">
    <cfRule type="cellIs" dxfId="2471" priority="2221" stopIfTrue="1" operator="lessThanOrEqual">
      <formula>$I$8</formula>
    </cfRule>
    <cfRule type="cellIs" dxfId="2470" priority="2222" stopIfTrue="1" operator="between">
      <formula>$I$8</formula>
      <formula>$J$8</formula>
    </cfRule>
    <cfRule type="cellIs" dxfId="2469" priority="2223" stopIfTrue="1" operator="greaterThanOrEqual">
      <formula>$J$8</formula>
    </cfRule>
  </conditionalFormatting>
  <conditionalFormatting sqref="AA392">
    <cfRule type="cellIs" dxfId="2468" priority="2209" stopIfTrue="1" operator="lessThanOrEqual">
      <formula>$I$8</formula>
    </cfRule>
    <cfRule type="cellIs" dxfId="2467" priority="2210" stopIfTrue="1" operator="between">
      <formula>$I$8</formula>
      <formula>$J$8</formula>
    </cfRule>
    <cfRule type="cellIs" dxfId="2466" priority="2211" stopIfTrue="1" operator="greaterThanOrEqual">
      <formula>$J$8</formula>
    </cfRule>
  </conditionalFormatting>
  <conditionalFormatting sqref="V218:Y218">
    <cfRule type="cellIs" dxfId="2465" priority="2203" stopIfTrue="1" operator="lessThanOrEqual">
      <formula>$I$8</formula>
    </cfRule>
    <cfRule type="cellIs" dxfId="2464" priority="2204" stopIfTrue="1" operator="between">
      <formula>$I$8</formula>
      <formula>$J$8</formula>
    </cfRule>
    <cfRule type="cellIs" dxfId="2463" priority="2205" stopIfTrue="1" operator="greaterThanOrEqual">
      <formula>$J$8</formula>
    </cfRule>
  </conditionalFormatting>
  <conditionalFormatting sqref="V374:AC374">
    <cfRule type="cellIs" dxfId="2462" priority="2254" stopIfTrue="1" operator="lessThanOrEqual">
      <formula>$I$8</formula>
    </cfRule>
    <cfRule type="cellIs" dxfId="2461" priority="2255" stopIfTrue="1" operator="between">
      <formula>$I$8</formula>
      <formula>$J$8</formula>
    </cfRule>
    <cfRule type="cellIs" dxfId="2460" priority="2256" stopIfTrue="1" operator="greaterThanOrEqual">
      <formula>$J$8</formula>
    </cfRule>
  </conditionalFormatting>
  <conditionalFormatting sqref="V380:AC380">
    <cfRule type="cellIs" dxfId="2459" priority="2245" stopIfTrue="1" operator="lessThanOrEqual">
      <formula>$I$8</formula>
    </cfRule>
    <cfRule type="cellIs" dxfId="2458" priority="2246" stopIfTrue="1" operator="between">
      <formula>$I$8</formula>
      <formula>$J$8</formula>
    </cfRule>
    <cfRule type="cellIs" dxfId="2457" priority="2247" stopIfTrue="1" operator="greaterThanOrEqual">
      <formula>$J$8</formula>
    </cfRule>
  </conditionalFormatting>
  <conditionalFormatting sqref="V386:AC386">
    <cfRule type="cellIs" dxfId="2456" priority="2239" stopIfTrue="1" operator="lessThanOrEqual">
      <formula>$I$8</formula>
    </cfRule>
    <cfRule type="cellIs" dxfId="2455" priority="2240" stopIfTrue="1" operator="between">
      <formula>$I$8</formula>
      <formula>$J$8</formula>
    </cfRule>
    <cfRule type="cellIs" dxfId="2454" priority="2241" stopIfTrue="1" operator="greaterThanOrEqual">
      <formula>$J$8</formula>
    </cfRule>
  </conditionalFormatting>
  <conditionalFormatting sqref="V215:W215">
    <cfRule type="cellIs" dxfId="2453" priority="2179" stopIfTrue="1" operator="lessThanOrEqual">
      <formula>$I$8</formula>
    </cfRule>
    <cfRule type="cellIs" dxfId="2452" priority="2180" stopIfTrue="1" operator="between">
      <formula>$I$8</formula>
      <formula>$J$8</formula>
    </cfRule>
    <cfRule type="cellIs" dxfId="2451" priority="2181" stopIfTrue="1" operator="greaterThanOrEqual">
      <formula>$J$8</formula>
    </cfRule>
  </conditionalFormatting>
  <conditionalFormatting sqref="Z218:AC218">
    <cfRule type="cellIs" dxfId="2450" priority="2197" stopIfTrue="1" operator="lessThanOrEqual">
      <formula>$I$8</formula>
    </cfRule>
    <cfRule type="cellIs" dxfId="2449" priority="2198" stopIfTrue="1" operator="between">
      <formula>$I$8</formula>
      <formula>$J$8</formula>
    </cfRule>
    <cfRule type="cellIs" dxfId="2448" priority="2199" stopIfTrue="1" operator="greaterThanOrEqual">
      <formula>$J$8</formula>
    </cfRule>
  </conditionalFormatting>
  <conditionalFormatting sqref="V209:Y209">
    <cfRule type="cellIs" dxfId="2447" priority="2191" stopIfTrue="1" operator="lessThanOrEqual">
      <formula>$I$8</formula>
    </cfRule>
    <cfRule type="cellIs" dxfId="2446" priority="2192" stopIfTrue="1" operator="between">
      <formula>$I$8</formula>
      <formula>$J$8</formula>
    </cfRule>
    <cfRule type="cellIs" dxfId="2445" priority="2193" stopIfTrue="1" operator="greaterThanOrEqual">
      <formula>$J$8</formula>
    </cfRule>
  </conditionalFormatting>
  <conditionalFormatting sqref="Z209:AC209">
    <cfRule type="cellIs" dxfId="2444" priority="2185" stopIfTrue="1" operator="lessThanOrEqual">
      <formula>$I$8</formula>
    </cfRule>
    <cfRule type="cellIs" dxfId="2443" priority="2186" stopIfTrue="1" operator="between">
      <formula>$I$8</formula>
      <formula>$J$8</formula>
    </cfRule>
    <cfRule type="cellIs" dxfId="2442" priority="2187" stopIfTrue="1" operator="greaterThanOrEqual">
      <formula>$J$8</formula>
    </cfRule>
  </conditionalFormatting>
  <conditionalFormatting sqref="W242">
    <cfRule type="cellIs" dxfId="2441" priority="2149" stopIfTrue="1" operator="lessThanOrEqual">
      <formula>$I$8</formula>
    </cfRule>
    <cfRule type="cellIs" dxfId="2440" priority="2150" stopIfTrue="1" operator="between">
      <formula>$I$8</formula>
      <formula>$J$8</formula>
    </cfRule>
    <cfRule type="cellIs" dxfId="2439" priority="2151" stopIfTrue="1" operator="greaterThanOrEqual">
      <formula>$J$8</formula>
    </cfRule>
  </conditionalFormatting>
  <conditionalFormatting sqref="W524 Y524 AA524 AC524">
    <cfRule type="cellIs" dxfId="2438" priority="2497" stopIfTrue="1" operator="lessThanOrEqual">
      <formula>#REF!</formula>
    </cfRule>
    <cfRule type="cellIs" dxfId="2437" priority="2498" stopIfTrue="1" operator="between">
      <formula>#REF!</formula>
      <formula>#REF!</formula>
    </cfRule>
    <cfRule type="cellIs" dxfId="2436" priority="2499" stopIfTrue="1" operator="greaterThanOrEqual">
      <formula>#REF!</formula>
    </cfRule>
  </conditionalFormatting>
  <conditionalFormatting sqref="Y491 AC491">
    <cfRule type="cellIs" dxfId="2435" priority="2533" stopIfTrue="1" operator="lessThanOrEqual">
      <formula>#REF!</formula>
    </cfRule>
    <cfRule type="cellIs" dxfId="2434" priority="2534" stopIfTrue="1" operator="between">
      <formula>#REF!</formula>
      <formula>#REF!</formula>
    </cfRule>
    <cfRule type="cellIs" dxfId="2433" priority="2535" stopIfTrue="1" operator="greaterThanOrEqual">
      <formula>#REF!</formula>
    </cfRule>
  </conditionalFormatting>
  <conditionalFormatting sqref="Y494">
    <cfRule type="cellIs" dxfId="2432" priority="2527" stopIfTrue="1" operator="lessThanOrEqual">
      <formula>#REF!</formula>
    </cfRule>
    <cfRule type="cellIs" dxfId="2431" priority="2528" stopIfTrue="1" operator="between">
      <formula>#REF!</formula>
      <formula>#REF!</formula>
    </cfRule>
    <cfRule type="cellIs" dxfId="2430" priority="2529" stopIfTrue="1" operator="greaterThanOrEqual">
      <formula>#REF!</formula>
    </cfRule>
  </conditionalFormatting>
  <conditionalFormatting sqref="V497:AC497">
    <cfRule type="cellIs" dxfId="2429" priority="2521" stopIfTrue="1" operator="lessThanOrEqual">
      <formula>#REF!</formula>
    </cfRule>
    <cfRule type="cellIs" dxfId="2428" priority="2522" stopIfTrue="1" operator="between">
      <formula>#REF!</formula>
      <formula>#REF!</formula>
    </cfRule>
    <cfRule type="cellIs" dxfId="2427" priority="2523" stopIfTrue="1" operator="greaterThanOrEqual">
      <formula>#REF!</formula>
    </cfRule>
  </conditionalFormatting>
  <conditionalFormatting sqref="V500:AC500">
    <cfRule type="cellIs" dxfId="2426" priority="2515" stopIfTrue="1" operator="lessThanOrEqual">
      <formula>#REF!</formula>
    </cfRule>
    <cfRule type="cellIs" dxfId="2425" priority="2516" stopIfTrue="1" operator="between">
      <formula>#REF!</formula>
      <formula>#REF!</formula>
    </cfRule>
    <cfRule type="cellIs" dxfId="2424" priority="2517" stopIfTrue="1" operator="greaterThanOrEqual">
      <formula>#REF!</formula>
    </cfRule>
  </conditionalFormatting>
  <conditionalFormatting sqref="AB242">
    <cfRule type="cellIs" dxfId="2423" priority="2155" stopIfTrue="1" operator="lessThanOrEqual">
      <formula>$I$8</formula>
    </cfRule>
    <cfRule type="cellIs" dxfId="2422" priority="2156" stopIfTrue="1" operator="between">
      <formula>$I$8</formula>
      <formula>$J$8</formula>
    </cfRule>
    <cfRule type="cellIs" dxfId="2421" priority="2157" stopIfTrue="1" operator="greaterThanOrEqual">
      <formula>$J$8</formula>
    </cfRule>
  </conditionalFormatting>
  <conditionalFormatting sqref="AA215">
    <cfRule type="cellIs" dxfId="2420" priority="2173" stopIfTrue="1" operator="lessThanOrEqual">
      <formula>$I$8</formula>
    </cfRule>
    <cfRule type="cellIs" dxfId="2419" priority="2174" stopIfTrue="1" operator="between">
      <formula>$I$8</formula>
      <formula>$J$8</formula>
    </cfRule>
    <cfRule type="cellIs" dxfId="2418" priority="2175" stopIfTrue="1" operator="greaterThanOrEqual">
      <formula>$J$8</formula>
    </cfRule>
  </conditionalFormatting>
  <conditionalFormatting sqref="W512:Y512 AA512:AC512">
    <cfRule type="cellIs" dxfId="2417" priority="2509" stopIfTrue="1" operator="lessThanOrEqual">
      <formula>#REF!</formula>
    </cfRule>
    <cfRule type="cellIs" dxfId="2416" priority="2510" stopIfTrue="1" operator="between">
      <formula>#REF!</formula>
      <formula>#REF!</formula>
    </cfRule>
    <cfRule type="cellIs" dxfId="2415" priority="2511" stopIfTrue="1" operator="greaterThanOrEqual">
      <formula>#REF!</formula>
    </cfRule>
  </conditionalFormatting>
  <conditionalFormatting sqref="X242">
    <cfRule type="cellIs" dxfId="2414" priority="2167" stopIfTrue="1" operator="lessThanOrEqual">
      <formula>$I$8</formula>
    </cfRule>
    <cfRule type="cellIs" dxfId="2413" priority="2168" stopIfTrue="1" operator="between">
      <formula>$I$8</formula>
      <formula>$J$8</formula>
    </cfRule>
    <cfRule type="cellIs" dxfId="2412" priority="2169" stopIfTrue="1" operator="greaterThanOrEqual">
      <formula>$J$8</formula>
    </cfRule>
  </conditionalFormatting>
  <conditionalFormatting sqref="V530:AC530">
    <cfRule type="cellIs" dxfId="2411" priority="2491" stopIfTrue="1" operator="lessThanOrEqual">
      <formula>#REF!</formula>
    </cfRule>
    <cfRule type="cellIs" dxfId="2410" priority="2492" stopIfTrue="1" operator="between">
      <formula>#REF!</formula>
      <formula>#REF!</formula>
    </cfRule>
    <cfRule type="cellIs" dxfId="2409" priority="2493" stopIfTrue="1" operator="greaterThanOrEqual">
      <formula>#REF!</formula>
    </cfRule>
  </conditionalFormatting>
  <conditionalFormatting sqref="V521:AC521">
    <cfRule type="cellIs" dxfId="2408" priority="2503" stopIfTrue="1" operator="lessThanOrEqual">
      <formula>#REF!</formula>
    </cfRule>
    <cfRule type="cellIs" dxfId="2407" priority="2504" stopIfTrue="1" operator="between">
      <formula>#REF!</formula>
      <formula>#REF!</formula>
    </cfRule>
    <cfRule type="cellIs" dxfId="2406" priority="2505" stopIfTrue="1" operator="greaterThanOrEqual">
      <formula>#REF!</formula>
    </cfRule>
  </conditionalFormatting>
  <conditionalFormatting sqref="AA242">
    <cfRule type="cellIs" dxfId="2405" priority="2161" stopIfTrue="1" operator="lessThanOrEqual">
      <formula>$I$8</formula>
    </cfRule>
    <cfRule type="cellIs" dxfId="2404" priority="2162" stopIfTrue="1" operator="between">
      <formula>$I$8</formula>
      <formula>$J$8</formula>
    </cfRule>
    <cfRule type="cellIs" dxfId="2403" priority="2163" stopIfTrue="1" operator="greaterThanOrEqual">
      <formula>$J$8</formula>
    </cfRule>
  </conditionalFormatting>
  <conditionalFormatting sqref="V533:AC533">
    <cfRule type="cellIs" dxfId="2402" priority="2485" stopIfTrue="1" operator="lessThanOrEqual">
      <formula>#REF!</formula>
    </cfRule>
    <cfRule type="cellIs" dxfId="2401" priority="2486" stopIfTrue="1" operator="between">
      <formula>#REF!</formula>
      <formula>#REF!</formula>
    </cfRule>
    <cfRule type="cellIs" dxfId="2400" priority="2487" stopIfTrue="1" operator="greaterThanOrEqual">
      <formula>#REF!</formula>
    </cfRule>
  </conditionalFormatting>
  <conditionalFormatting sqref="W536 Y536 AA536 AC536">
    <cfRule type="cellIs" dxfId="2399" priority="2479" stopIfTrue="1" operator="lessThanOrEqual">
      <formula>#REF!</formula>
    </cfRule>
    <cfRule type="cellIs" dxfId="2398" priority="2480" stopIfTrue="1" operator="between">
      <formula>#REF!</formula>
      <formula>#REF!</formula>
    </cfRule>
    <cfRule type="cellIs" dxfId="2397" priority="2481" stopIfTrue="1" operator="greaterThanOrEqual">
      <formula>#REF!</formula>
    </cfRule>
  </conditionalFormatting>
  <conditionalFormatting sqref="V488:AC488">
    <cfRule type="cellIs" dxfId="2396" priority="2473" stopIfTrue="1" operator="lessThanOrEqual">
      <formula>#REF!</formula>
    </cfRule>
    <cfRule type="cellIs" dxfId="2395" priority="2474" stopIfTrue="1" operator="between">
      <formula>#REF!</formula>
      <formula>#REF!</formula>
    </cfRule>
    <cfRule type="cellIs" dxfId="2394" priority="2475" stopIfTrue="1" operator="greaterThanOrEqual">
      <formula>#REF!</formula>
    </cfRule>
  </conditionalFormatting>
  <conditionalFormatting sqref="V160:Y160">
    <cfRule type="cellIs" dxfId="2393" priority="2380" stopIfTrue="1" operator="lessThanOrEqual">
      <formula>$I$8</formula>
    </cfRule>
    <cfRule type="cellIs" dxfId="2392" priority="2381" stopIfTrue="1" operator="between">
      <formula>$I$8</formula>
      <formula>$J$8</formula>
    </cfRule>
    <cfRule type="cellIs" dxfId="2391" priority="2382" stopIfTrue="1" operator="greaterThanOrEqual">
      <formula>$J$8</formula>
    </cfRule>
  </conditionalFormatting>
  <conditionalFormatting sqref="V163:Y163">
    <cfRule type="cellIs" dxfId="2390" priority="2374" stopIfTrue="1" operator="lessThanOrEqual">
      <formula>$I$8</formula>
    </cfRule>
    <cfRule type="cellIs" dxfId="2389" priority="2375" stopIfTrue="1" operator="between">
      <formula>$I$8</formula>
      <formula>$J$8</formula>
    </cfRule>
    <cfRule type="cellIs" dxfId="2388" priority="2376" stopIfTrue="1" operator="greaterThanOrEqual">
      <formula>$J$8</formula>
    </cfRule>
  </conditionalFormatting>
  <conditionalFormatting sqref="BD268">
    <cfRule type="cellIs" dxfId="2387" priority="2464" stopIfTrue="1" operator="lessThanOrEqual">
      <formula>$I$8</formula>
    </cfRule>
    <cfRule type="cellIs" dxfId="2386" priority="2465" stopIfTrue="1" operator="between">
      <formula>$I$8</formula>
      <formula>$J$8</formula>
    </cfRule>
    <cfRule type="cellIs" dxfId="2385" priority="2466" stopIfTrue="1" operator="greaterThanOrEqual">
      <formula>$J$8</formula>
    </cfRule>
  </conditionalFormatting>
  <conditionalFormatting sqref="BD268">
    <cfRule type="cellIs" dxfId="2384" priority="2461" stopIfTrue="1" operator="lessThanOrEqual">
      <formula>#REF!</formula>
    </cfRule>
    <cfRule type="cellIs" dxfId="2383" priority="2462" stopIfTrue="1" operator="between">
      <formula>#REF!</formula>
      <formula>#REF!</formula>
    </cfRule>
    <cfRule type="cellIs" dxfId="2382" priority="2463" stopIfTrue="1" operator="greaterThanOrEqual">
      <formula>#REF!</formula>
    </cfRule>
  </conditionalFormatting>
  <conditionalFormatting sqref="AC104">
    <cfRule type="cellIs" dxfId="2381" priority="2386" stopIfTrue="1" operator="lessThanOrEqual">
      <formula>$I$8</formula>
    </cfRule>
    <cfRule type="cellIs" dxfId="2380" priority="2387" stopIfTrue="1" operator="between">
      <formula>$I$8</formula>
      <formula>$J$8</formula>
    </cfRule>
    <cfRule type="cellIs" dxfId="2379" priority="2388" stopIfTrue="1" operator="greaterThanOrEqual">
      <formula>$J$8</formula>
    </cfRule>
  </conditionalFormatting>
  <conditionalFormatting sqref="BD372">
    <cfRule type="cellIs" dxfId="2378" priority="2458" stopIfTrue="1" operator="lessThanOrEqual">
      <formula>$I$8</formula>
    </cfRule>
    <cfRule type="cellIs" dxfId="2377" priority="2459" stopIfTrue="1" operator="between">
      <formula>$I$8</formula>
      <formula>$J$8</formula>
    </cfRule>
    <cfRule type="cellIs" dxfId="2376" priority="2460" stopIfTrue="1" operator="greaterThanOrEqual">
      <formula>$J$8</formula>
    </cfRule>
  </conditionalFormatting>
  <conditionalFormatting sqref="BD372">
    <cfRule type="cellIs" dxfId="2375" priority="2455" stopIfTrue="1" operator="lessThanOrEqual">
      <formula>#REF!</formula>
    </cfRule>
    <cfRule type="cellIs" dxfId="2374" priority="2456" stopIfTrue="1" operator="between">
      <formula>#REF!</formula>
      <formula>#REF!</formula>
    </cfRule>
    <cfRule type="cellIs" dxfId="2373" priority="2457" stopIfTrue="1" operator="greaterThanOrEqual">
      <formula>#REF!</formula>
    </cfRule>
  </conditionalFormatting>
  <conditionalFormatting sqref="V417">
    <cfRule type="cellIs" dxfId="2372" priority="1915" stopIfTrue="1" operator="lessThanOrEqual">
      <formula>$I$8</formula>
    </cfRule>
    <cfRule type="cellIs" dxfId="2371" priority="1916" stopIfTrue="1" operator="between">
      <formula>$I$8</formula>
      <formula>$J$8</formula>
    </cfRule>
    <cfRule type="cellIs" dxfId="2370" priority="1917" stopIfTrue="1" operator="greaterThanOrEqual">
      <formula>$J$8</formula>
    </cfRule>
  </conditionalFormatting>
  <conditionalFormatting sqref="W417:X417">
    <cfRule type="cellIs" dxfId="2369" priority="1921" stopIfTrue="1" operator="lessThanOrEqual">
      <formula>$I$8</formula>
    </cfRule>
    <cfRule type="cellIs" dxfId="2368" priority="1922" stopIfTrue="1" operator="between">
      <formula>$I$8</formula>
      <formula>$J$8</formula>
    </cfRule>
    <cfRule type="cellIs" dxfId="2367" priority="1923" stopIfTrue="1" operator="greaterThanOrEqual">
      <formula>$J$8</formula>
    </cfRule>
  </conditionalFormatting>
  <conditionalFormatting sqref="Z420:AB420">
    <cfRule type="cellIs" dxfId="2366" priority="1909" stopIfTrue="1" operator="lessThanOrEqual">
      <formula>$I$8</formula>
    </cfRule>
    <cfRule type="cellIs" dxfId="2365" priority="1910" stopIfTrue="1" operator="between">
      <formula>$I$8</formula>
      <formula>$J$8</formula>
    </cfRule>
    <cfRule type="cellIs" dxfId="2364" priority="1911" stopIfTrue="1" operator="greaterThanOrEqual">
      <formula>$J$8</formula>
    </cfRule>
  </conditionalFormatting>
  <conditionalFormatting sqref="W420:X420">
    <cfRule type="cellIs" dxfId="2363" priority="1903" stopIfTrue="1" operator="lessThanOrEqual">
      <formula>$I$8</formula>
    </cfRule>
    <cfRule type="cellIs" dxfId="2362" priority="1904" stopIfTrue="1" operator="between">
      <formula>$I$8</formula>
      <formula>$J$8</formula>
    </cfRule>
    <cfRule type="cellIs" dxfId="2361" priority="1905" stopIfTrue="1" operator="greaterThanOrEqual">
      <formula>$J$8</formula>
    </cfRule>
  </conditionalFormatting>
  <conditionalFormatting sqref="V414">
    <cfRule type="cellIs" dxfId="2360" priority="1933" stopIfTrue="1" operator="lessThanOrEqual">
      <formula>$I$8</formula>
    </cfRule>
    <cfRule type="cellIs" dxfId="2359" priority="1934" stopIfTrue="1" operator="between">
      <formula>$I$8</formula>
      <formula>$J$8</formula>
    </cfRule>
    <cfRule type="cellIs" dxfId="2358" priority="1935" stopIfTrue="1" operator="greaterThanOrEqual">
      <formula>$J$8</formula>
    </cfRule>
  </conditionalFormatting>
  <conditionalFormatting sqref="Z417:AB417">
    <cfRule type="cellIs" dxfId="2357" priority="1927" stopIfTrue="1" operator="lessThanOrEqual">
      <formula>$I$8</formula>
    </cfRule>
    <cfRule type="cellIs" dxfId="2356" priority="1928" stopIfTrue="1" operator="between">
      <formula>$I$8</formula>
      <formula>$J$8</formula>
    </cfRule>
    <cfRule type="cellIs" dxfId="2355" priority="1929" stopIfTrue="1" operator="greaterThanOrEqual">
      <formula>$J$8</formula>
    </cfRule>
  </conditionalFormatting>
  <conditionalFormatting sqref="Z423:AB423">
    <cfRule type="cellIs" dxfId="2354" priority="1897" stopIfTrue="1" operator="lessThanOrEqual">
      <formula>$I$8</formula>
    </cfRule>
    <cfRule type="cellIs" dxfId="2353" priority="1898" stopIfTrue="1" operator="between">
      <formula>$I$8</formula>
      <formula>$J$8</formula>
    </cfRule>
    <cfRule type="cellIs" dxfId="2352" priority="1899" stopIfTrue="1" operator="greaterThanOrEqual">
      <formula>$J$8</formula>
    </cfRule>
  </conditionalFormatting>
  <conditionalFormatting sqref="V52:AC52">
    <cfRule type="cellIs" dxfId="2351" priority="2452" stopIfTrue="1" operator="lessThanOrEqual">
      <formula>$I$8</formula>
    </cfRule>
    <cfRule type="cellIs" dxfId="2350" priority="2453" stopIfTrue="1" operator="between">
      <formula>$I$8</formula>
      <formula>$J$8</formula>
    </cfRule>
    <cfRule type="cellIs" dxfId="2349" priority="2454" stopIfTrue="1" operator="greaterThanOrEqual">
      <formula>$J$8</formula>
    </cfRule>
  </conditionalFormatting>
  <conditionalFormatting sqref="V52:AC52">
    <cfRule type="cellIs" dxfId="2348" priority="2449" stopIfTrue="1" operator="lessThanOrEqual">
      <formula>#REF!</formula>
    </cfRule>
    <cfRule type="cellIs" dxfId="2347" priority="2450" stopIfTrue="1" operator="between">
      <formula>#REF!</formula>
      <formula>#REF!</formula>
    </cfRule>
    <cfRule type="cellIs" dxfId="2346" priority="2451" stopIfTrue="1" operator="greaterThanOrEqual">
      <formula>#REF!</formula>
    </cfRule>
  </conditionalFormatting>
  <conditionalFormatting sqref="W55">
    <cfRule type="cellIs" dxfId="2345" priority="2446" stopIfTrue="1" operator="lessThanOrEqual">
      <formula>$I$8</formula>
    </cfRule>
    <cfRule type="cellIs" dxfId="2344" priority="2447" stopIfTrue="1" operator="between">
      <formula>$I$8</formula>
      <formula>$J$8</formula>
    </cfRule>
    <cfRule type="cellIs" dxfId="2343" priority="2448" stopIfTrue="1" operator="greaterThanOrEqual">
      <formula>$J$8</formula>
    </cfRule>
  </conditionalFormatting>
  <conditionalFormatting sqref="W55">
    <cfRule type="cellIs" dxfId="2342" priority="2443" stopIfTrue="1" operator="lessThanOrEqual">
      <formula>#REF!</formula>
    </cfRule>
    <cfRule type="cellIs" dxfId="2341" priority="2444" stopIfTrue="1" operator="between">
      <formula>#REF!</formula>
      <formula>#REF!</formula>
    </cfRule>
    <cfRule type="cellIs" dxfId="2340" priority="2445" stopIfTrue="1" operator="greaterThanOrEqual">
      <formula>#REF!</formula>
    </cfRule>
  </conditionalFormatting>
  <conditionalFormatting sqref="AA55">
    <cfRule type="cellIs" dxfId="2339" priority="2440" stopIfTrue="1" operator="lessThanOrEqual">
      <formula>$I$8</formula>
    </cfRule>
    <cfRule type="cellIs" dxfId="2338" priority="2441" stopIfTrue="1" operator="between">
      <formula>$I$8</formula>
      <formula>$J$8</formula>
    </cfRule>
    <cfRule type="cellIs" dxfId="2337" priority="2442" stopIfTrue="1" operator="greaterThanOrEqual">
      <formula>$J$8</formula>
    </cfRule>
  </conditionalFormatting>
  <conditionalFormatting sqref="AA55">
    <cfRule type="cellIs" dxfId="2336" priority="2437" stopIfTrue="1" operator="lessThanOrEqual">
      <formula>#REF!</formula>
    </cfRule>
    <cfRule type="cellIs" dxfId="2335" priority="2438" stopIfTrue="1" operator="between">
      <formula>#REF!</formula>
      <formula>#REF!</formula>
    </cfRule>
    <cfRule type="cellIs" dxfId="2334" priority="2439" stopIfTrue="1" operator="greaterThanOrEqual">
      <formula>#REF!</formula>
    </cfRule>
  </conditionalFormatting>
  <conditionalFormatting sqref="Y58">
    <cfRule type="cellIs" dxfId="2333" priority="2434" stopIfTrue="1" operator="lessThanOrEqual">
      <formula>$I$8</formula>
    </cfRule>
    <cfRule type="cellIs" dxfId="2332" priority="2435" stopIfTrue="1" operator="between">
      <formula>$I$8</formula>
      <formula>$J$8</formula>
    </cfRule>
    <cfRule type="cellIs" dxfId="2331" priority="2436" stopIfTrue="1" operator="greaterThanOrEqual">
      <formula>$J$8</formula>
    </cfRule>
  </conditionalFormatting>
  <conditionalFormatting sqref="Y58">
    <cfRule type="cellIs" dxfId="2330" priority="2431" stopIfTrue="1" operator="lessThanOrEqual">
      <formula>#REF!</formula>
    </cfRule>
    <cfRule type="cellIs" dxfId="2329" priority="2432" stopIfTrue="1" operator="between">
      <formula>#REF!</formula>
      <formula>#REF!</formula>
    </cfRule>
    <cfRule type="cellIs" dxfId="2328" priority="2433" stopIfTrue="1" operator="greaterThanOrEqual">
      <formula>#REF!</formula>
    </cfRule>
  </conditionalFormatting>
  <conditionalFormatting sqref="AC58">
    <cfRule type="cellIs" dxfId="2327" priority="2428" stopIfTrue="1" operator="lessThanOrEqual">
      <formula>$I$8</formula>
    </cfRule>
    <cfRule type="cellIs" dxfId="2326" priority="2429" stopIfTrue="1" operator="between">
      <formula>$I$8</formula>
      <formula>$J$8</formula>
    </cfRule>
    <cfRule type="cellIs" dxfId="2325" priority="2430" stopIfTrue="1" operator="greaterThanOrEqual">
      <formula>$J$8</formula>
    </cfRule>
  </conditionalFormatting>
  <conditionalFormatting sqref="AC58">
    <cfRule type="cellIs" dxfId="2324" priority="2425" stopIfTrue="1" operator="lessThanOrEqual">
      <formula>#REF!</formula>
    </cfRule>
    <cfRule type="cellIs" dxfId="2323" priority="2426" stopIfTrue="1" operator="between">
      <formula>#REF!</formula>
      <formula>#REF!</formula>
    </cfRule>
    <cfRule type="cellIs" dxfId="2322" priority="2427" stopIfTrue="1" operator="greaterThanOrEqual">
      <formula>#REF!</formula>
    </cfRule>
  </conditionalFormatting>
  <conditionalFormatting sqref="V61:AC61">
    <cfRule type="cellIs" dxfId="2321" priority="2422" stopIfTrue="1" operator="lessThanOrEqual">
      <formula>$I$8</formula>
    </cfRule>
    <cfRule type="cellIs" dxfId="2320" priority="2423" stopIfTrue="1" operator="between">
      <formula>$I$8</formula>
      <formula>$J$8</formula>
    </cfRule>
    <cfRule type="cellIs" dxfId="2319" priority="2424" stopIfTrue="1" operator="greaterThanOrEqual">
      <formula>$J$8</formula>
    </cfRule>
  </conditionalFormatting>
  <conditionalFormatting sqref="V61:AC61">
    <cfRule type="cellIs" dxfId="2318" priority="2419" stopIfTrue="1" operator="lessThanOrEqual">
      <formula>#REF!</formula>
    </cfRule>
    <cfRule type="cellIs" dxfId="2317" priority="2420" stopIfTrue="1" operator="between">
      <formula>#REF!</formula>
      <formula>#REF!</formula>
    </cfRule>
    <cfRule type="cellIs" dxfId="2316" priority="2421" stopIfTrue="1" operator="greaterThanOrEqual">
      <formula>#REF!</formula>
    </cfRule>
  </conditionalFormatting>
  <conditionalFormatting sqref="V77:AC77">
    <cfRule type="cellIs" dxfId="2315" priority="2416" stopIfTrue="1" operator="lessThanOrEqual">
      <formula>$I$8</formula>
    </cfRule>
    <cfRule type="cellIs" dxfId="2314" priority="2417" stopIfTrue="1" operator="between">
      <formula>$I$8</formula>
      <formula>$J$8</formula>
    </cfRule>
    <cfRule type="cellIs" dxfId="2313" priority="2418" stopIfTrue="1" operator="greaterThanOrEqual">
      <formula>$J$8</formula>
    </cfRule>
  </conditionalFormatting>
  <conditionalFormatting sqref="V77:AC77">
    <cfRule type="cellIs" dxfId="2312" priority="2413" stopIfTrue="1" operator="lessThanOrEqual">
      <formula>#REF!</formula>
    </cfRule>
    <cfRule type="cellIs" dxfId="2311" priority="2414" stopIfTrue="1" operator="between">
      <formula>#REF!</formula>
      <formula>#REF!</formula>
    </cfRule>
    <cfRule type="cellIs" dxfId="2310" priority="2415" stopIfTrue="1" operator="greaterThanOrEqual">
      <formula>#REF!</formula>
    </cfRule>
  </conditionalFormatting>
  <conditionalFormatting sqref="Y80">
    <cfRule type="cellIs" dxfId="2309" priority="2410" stopIfTrue="1" operator="lessThanOrEqual">
      <formula>$I$8</formula>
    </cfRule>
    <cfRule type="cellIs" dxfId="2308" priority="2411" stopIfTrue="1" operator="between">
      <formula>$I$8</formula>
      <formula>$J$8</formula>
    </cfRule>
    <cfRule type="cellIs" dxfId="2307" priority="2412" stopIfTrue="1" operator="greaterThanOrEqual">
      <formula>$J$8</formula>
    </cfRule>
  </conditionalFormatting>
  <conditionalFormatting sqref="Y80 AC80">
    <cfRule type="cellIs" dxfId="2306" priority="2407" stopIfTrue="1" operator="lessThanOrEqual">
      <formula>#REF!</formula>
    </cfRule>
    <cfRule type="cellIs" dxfId="2305" priority="2408" stopIfTrue="1" operator="between">
      <formula>#REF!</formula>
      <formula>#REF!</formula>
    </cfRule>
    <cfRule type="cellIs" dxfId="2304" priority="2409" stopIfTrue="1" operator="greaterThanOrEqual">
      <formula>#REF!</formula>
    </cfRule>
  </conditionalFormatting>
  <conditionalFormatting sqref="V83:AC83">
    <cfRule type="cellIs" dxfId="2303" priority="2404" stopIfTrue="1" operator="lessThanOrEqual">
      <formula>$I$8</formula>
    </cfRule>
    <cfRule type="cellIs" dxfId="2302" priority="2405" stopIfTrue="1" operator="between">
      <formula>$I$8</formula>
      <formula>$J$8</formula>
    </cfRule>
    <cfRule type="cellIs" dxfId="2301" priority="2406" stopIfTrue="1" operator="greaterThanOrEqual">
      <formula>$J$8</formula>
    </cfRule>
  </conditionalFormatting>
  <conditionalFormatting sqref="V83:AC83">
    <cfRule type="cellIs" dxfId="2300" priority="2401" stopIfTrue="1" operator="lessThanOrEqual">
      <formula>#REF!</formula>
    </cfRule>
    <cfRule type="cellIs" dxfId="2299" priority="2402" stopIfTrue="1" operator="between">
      <formula>#REF!</formula>
      <formula>#REF!</formula>
    </cfRule>
    <cfRule type="cellIs" dxfId="2298" priority="2403" stopIfTrue="1" operator="greaterThanOrEqual">
      <formula>#REF!</formula>
    </cfRule>
  </conditionalFormatting>
  <conditionalFormatting sqref="V86:AC86">
    <cfRule type="cellIs" dxfId="2297" priority="2398" stopIfTrue="1" operator="lessThanOrEqual">
      <formula>$I$8</formula>
    </cfRule>
    <cfRule type="cellIs" dxfId="2296" priority="2399" stopIfTrue="1" operator="between">
      <formula>$I$8</formula>
      <formula>$J$8</formula>
    </cfRule>
    <cfRule type="cellIs" dxfId="2295" priority="2400" stopIfTrue="1" operator="greaterThanOrEqual">
      <formula>$J$8</formula>
    </cfRule>
  </conditionalFormatting>
  <conditionalFormatting sqref="V86:AC86">
    <cfRule type="cellIs" dxfId="2294" priority="2395" stopIfTrue="1" operator="lessThanOrEqual">
      <formula>#REF!</formula>
    </cfRule>
    <cfRule type="cellIs" dxfId="2293" priority="2396" stopIfTrue="1" operator="between">
      <formula>#REF!</formula>
      <formula>#REF!</formula>
    </cfRule>
    <cfRule type="cellIs" dxfId="2292" priority="2397" stopIfTrue="1" operator="greaterThanOrEqual">
      <formula>#REF!</formula>
    </cfRule>
  </conditionalFormatting>
  <conditionalFormatting sqref="V104:AB104">
    <cfRule type="cellIs" dxfId="2291" priority="2392" stopIfTrue="1" operator="lessThanOrEqual">
      <formula>$I$8</formula>
    </cfRule>
    <cfRule type="cellIs" dxfId="2290" priority="2393" stopIfTrue="1" operator="between">
      <formula>$I$8</formula>
      <formula>$J$8</formula>
    </cfRule>
    <cfRule type="cellIs" dxfId="2289" priority="2394" stopIfTrue="1" operator="greaterThanOrEqual">
      <formula>$J$8</formula>
    </cfRule>
  </conditionalFormatting>
  <conditionalFormatting sqref="V104:AB104">
    <cfRule type="cellIs" dxfId="2288" priority="2389" stopIfTrue="1" operator="lessThanOrEqual">
      <formula>#REF!</formula>
    </cfRule>
    <cfRule type="cellIs" dxfId="2287" priority="2390" stopIfTrue="1" operator="between">
      <formula>#REF!</formula>
      <formula>#REF!</formula>
    </cfRule>
    <cfRule type="cellIs" dxfId="2286" priority="2391" stopIfTrue="1" operator="greaterThanOrEqual">
      <formula>#REF!</formula>
    </cfRule>
  </conditionalFormatting>
  <conditionalFormatting sqref="AC104">
    <cfRule type="cellIs" dxfId="2285" priority="2383" stopIfTrue="1" operator="lessThanOrEqual">
      <formula>#REF!</formula>
    </cfRule>
    <cfRule type="cellIs" dxfId="2284" priority="2384" stopIfTrue="1" operator="between">
      <formula>#REF!</formula>
      <formula>#REF!</formula>
    </cfRule>
    <cfRule type="cellIs" dxfId="2283" priority="2385" stopIfTrue="1" operator="greaterThanOrEqual">
      <formula>#REF!</formula>
    </cfRule>
  </conditionalFormatting>
  <conditionalFormatting sqref="Y417">
    <cfRule type="cellIs" dxfId="2282" priority="1861" stopIfTrue="1" operator="lessThanOrEqual">
      <formula>$I$8</formula>
    </cfRule>
    <cfRule type="cellIs" dxfId="2281" priority="1862" stopIfTrue="1" operator="between">
      <formula>$I$8</formula>
      <formula>$J$8</formula>
    </cfRule>
    <cfRule type="cellIs" dxfId="2280" priority="1863" stopIfTrue="1" operator="greaterThanOrEqual">
      <formula>$J$8</formula>
    </cfRule>
  </conditionalFormatting>
  <conditionalFormatting sqref="Y414">
    <cfRule type="cellIs" dxfId="2279" priority="1867" stopIfTrue="1" operator="lessThanOrEqual">
      <formula>$I$8</formula>
    </cfRule>
    <cfRule type="cellIs" dxfId="2278" priority="1868" stopIfTrue="1" operator="between">
      <formula>$I$8</formula>
      <formula>$J$8</formula>
    </cfRule>
    <cfRule type="cellIs" dxfId="2277" priority="1869" stopIfTrue="1" operator="greaterThanOrEqual">
      <formula>$J$8</formula>
    </cfRule>
  </conditionalFormatting>
  <conditionalFormatting sqref="Y420">
    <cfRule type="cellIs" dxfId="2276" priority="1855" stopIfTrue="1" operator="lessThanOrEqual">
      <formula>$I$8</formula>
    </cfRule>
    <cfRule type="cellIs" dxfId="2275" priority="1856" stopIfTrue="1" operator="between">
      <formula>$I$8</formula>
      <formula>$J$8</formula>
    </cfRule>
    <cfRule type="cellIs" dxfId="2274" priority="1857" stopIfTrue="1" operator="greaterThanOrEqual">
      <formula>$J$8</formula>
    </cfRule>
  </conditionalFormatting>
  <conditionalFormatting sqref="Y426">
    <cfRule type="cellIs" dxfId="2273" priority="1849" stopIfTrue="1" operator="lessThanOrEqual">
      <formula>$I$8</formula>
    </cfRule>
    <cfRule type="cellIs" dxfId="2272" priority="1850" stopIfTrue="1" operator="between">
      <formula>$I$8</formula>
      <formula>$J$8</formula>
    </cfRule>
    <cfRule type="cellIs" dxfId="2271" priority="1851" stopIfTrue="1" operator="greaterThanOrEqual">
      <formula>$J$8</formula>
    </cfRule>
  </conditionalFormatting>
  <conditionalFormatting sqref="AC414">
    <cfRule type="cellIs" dxfId="2270" priority="1843" stopIfTrue="1" operator="lessThanOrEqual">
      <formula>$I$8</formula>
    </cfRule>
    <cfRule type="cellIs" dxfId="2269" priority="1844" stopIfTrue="1" operator="between">
      <formula>$I$8</formula>
      <formula>$J$8</formula>
    </cfRule>
    <cfRule type="cellIs" dxfId="2268" priority="1845" stopIfTrue="1" operator="greaterThanOrEqual">
      <formula>$J$8</formula>
    </cfRule>
  </conditionalFormatting>
  <conditionalFormatting sqref="AC417">
    <cfRule type="cellIs" dxfId="2267" priority="1837" stopIfTrue="1" operator="lessThanOrEqual">
      <formula>$I$8</formula>
    </cfRule>
    <cfRule type="cellIs" dxfId="2266" priority="1838" stopIfTrue="1" operator="between">
      <formula>$I$8</formula>
      <formula>$J$8</formula>
    </cfRule>
    <cfRule type="cellIs" dxfId="2265" priority="1839" stopIfTrue="1" operator="greaterThanOrEqual">
      <formula>$J$8</formula>
    </cfRule>
  </conditionalFormatting>
  <conditionalFormatting sqref="AC420">
    <cfRule type="cellIs" dxfId="2264" priority="1831" stopIfTrue="1" operator="lessThanOrEqual">
      <formula>$I$8</formula>
    </cfRule>
    <cfRule type="cellIs" dxfId="2263" priority="1832" stopIfTrue="1" operator="between">
      <formula>$I$8</formula>
      <formula>$J$8</formula>
    </cfRule>
    <cfRule type="cellIs" dxfId="2262" priority="1833" stopIfTrue="1" operator="greaterThanOrEqual">
      <formula>$J$8</formula>
    </cfRule>
  </conditionalFormatting>
  <conditionalFormatting sqref="V160:Y160">
    <cfRule type="cellIs" dxfId="2261" priority="2377" stopIfTrue="1" operator="lessThanOrEqual">
      <formula>#REF!</formula>
    </cfRule>
    <cfRule type="cellIs" dxfId="2260" priority="2378" stopIfTrue="1" operator="between">
      <formula>#REF!</formula>
      <formula>#REF!</formula>
    </cfRule>
    <cfRule type="cellIs" dxfId="2259" priority="2379" stopIfTrue="1" operator="greaterThanOrEqual">
      <formula>#REF!</formula>
    </cfRule>
  </conditionalFormatting>
  <conditionalFormatting sqref="V163:Y163">
    <cfRule type="cellIs" dxfId="2258" priority="2371" stopIfTrue="1" operator="lessThanOrEqual">
      <formula>#REF!</formula>
    </cfRule>
    <cfRule type="cellIs" dxfId="2257" priority="2372" stopIfTrue="1" operator="between">
      <formula>#REF!</formula>
      <formula>#REF!</formula>
    </cfRule>
    <cfRule type="cellIs" dxfId="2256" priority="2373" stopIfTrue="1" operator="greaterThanOrEqual">
      <formula>#REF!</formula>
    </cfRule>
  </conditionalFormatting>
  <conditionalFormatting sqref="Z160:AC160">
    <cfRule type="cellIs" dxfId="2255" priority="2368" stopIfTrue="1" operator="lessThanOrEqual">
      <formula>$I$8</formula>
    </cfRule>
    <cfRule type="cellIs" dxfId="2254" priority="2369" stopIfTrue="1" operator="between">
      <formula>$I$8</formula>
      <formula>$J$8</formula>
    </cfRule>
    <cfRule type="cellIs" dxfId="2253" priority="2370" stopIfTrue="1" operator="greaterThanOrEqual">
      <formula>$J$8</formula>
    </cfRule>
  </conditionalFormatting>
  <conditionalFormatting sqref="Z160:AC160 Z163:AC163">
    <cfRule type="cellIs" dxfId="2252" priority="2365" stopIfTrue="1" operator="lessThanOrEqual">
      <formula>#REF!</formula>
    </cfRule>
    <cfRule type="cellIs" dxfId="2251" priority="2366" stopIfTrue="1" operator="between">
      <formula>#REF!</formula>
      <formula>#REF!</formula>
    </cfRule>
    <cfRule type="cellIs" dxfId="2250" priority="2367" stopIfTrue="1" operator="greaterThanOrEqual">
      <formula>#REF!</formula>
    </cfRule>
  </conditionalFormatting>
  <conditionalFormatting sqref="V169:Y169">
    <cfRule type="cellIs" dxfId="2249" priority="2362" stopIfTrue="1" operator="lessThanOrEqual">
      <formula>$I$8</formula>
    </cfRule>
    <cfRule type="cellIs" dxfId="2248" priority="2363" stopIfTrue="1" operator="between">
      <formula>$I$8</formula>
      <formula>$J$8</formula>
    </cfRule>
    <cfRule type="cellIs" dxfId="2247" priority="2364" stopIfTrue="1" operator="greaterThanOrEqual">
      <formula>$J$8</formula>
    </cfRule>
  </conditionalFormatting>
  <conditionalFormatting sqref="V169:Y169">
    <cfRule type="cellIs" dxfId="2246" priority="2359" stopIfTrue="1" operator="lessThanOrEqual">
      <formula>#REF!</formula>
    </cfRule>
    <cfRule type="cellIs" dxfId="2245" priority="2360" stopIfTrue="1" operator="between">
      <formula>#REF!</formula>
      <formula>#REF!</formula>
    </cfRule>
    <cfRule type="cellIs" dxfId="2244" priority="2361" stopIfTrue="1" operator="greaterThanOrEqual">
      <formula>#REF!</formula>
    </cfRule>
  </conditionalFormatting>
  <conditionalFormatting sqref="Z169:AC169">
    <cfRule type="cellIs" dxfId="2243" priority="2356" stopIfTrue="1" operator="lessThanOrEqual">
      <formula>$I$8</formula>
    </cfRule>
    <cfRule type="cellIs" dxfId="2242" priority="2357" stopIfTrue="1" operator="between">
      <formula>$I$8</formula>
      <formula>$J$8</formula>
    </cfRule>
    <cfRule type="cellIs" dxfId="2241" priority="2358" stopIfTrue="1" operator="greaterThanOrEqual">
      <formula>$J$8</formula>
    </cfRule>
  </conditionalFormatting>
  <conditionalFormatting sqref="Z169:AC169">
    <cfRule type="cellIs" dxfId="2240" priority="2353" stopIfTrue="1" operator="lessThanOrEqual">
      <formula>#REF!</formula>
    </cfRule>
    <cfRule type="cellIs" dxfId="2239" priority="2354" stopIfTrue="1" operator="between">
      <formula>#REF!</formula>
      <formula>#REF!</formula>
    </cfRule>
    <cfRule type="cellIs" dxfId="2238" priority="2355" stopIfTrue="1" operator="greaterThanOrEqual">
      <formula>#REF!</formula>
    </cfRule>
  </conditionalFormatting>
  <conditionalFormatting sqref="V166:Y166">
    <cfRule type="cellIs" dxfId="2237" priority="2350" stopIfTrue="1" operator="lessThanOrEqual">
      <formula>$I$8</formula>
    </cfRule>
    <cfRule type="cellIs" dxfId="2236" priority="2351" stopIfTrue="1" operator="between">
      <formula>$I$8</formula>
      <formula>$J$8</formula>
    </cfRule>
    <cfRule type="cellIs" dxfId="2235" priority="2352" stopIfTrue="1" operator="greaterThanOrEqual">
      <formula>$J$8</formula>
    </cfRule>
  </conditionalFormatting>
  <conditionalFormatting sqref="V166:Y166">
    <cfRule type="cellIs" dxfId="2234" priority="2347" stopIfTrue="1" operator="lessThanOrEqual">
      <formula>#REF!</formula>
    </cfRule>
    <cfRule type="cellIs" dxfId="2233" priority="2348" stopIfTrue="1" operator="between">
      <formula>#REF!</formula>
      <formula>#REF!</formula>
    </cfRule>
    <cfRule type="cellIs" dxfId="2232" priority="2349" stopIfTrue="1" operator="greaterThanOrEqual">
      <formula>#REF!</formula>
    </cfRule>
  </conditionalFormatting>
  <conditionalFormatting sqref="Z166:AC166">
    <cfRule type="cellIs" dxfId="2231" priority="2344" stopIfTrue="1" operator="lessThanOrEqual">
      <formula>$I$8</formula>
    </cfRule>
    <cfRule type="cellIs" dxfId="2230" priority="2345" stopIfTrue="1" operator="between">
      <formula>$I$8</formula>
      <formula>$J$8</formula>
    </cfRule>
    <cfRule type="cellIs" dxfId="2229" priority="2346" stopIfTrue="1" operator="greaterThanOrEqual">
      <formula>$J$8</formula>
    </cfRule>
  </conditionalFormatting>
  <conditionalFormatting sqref="Z166:AC166">
    <cfRule type="cellIs" dxfId="2228" priority="2341" stopIfTrue="1" operator="lessThanOrEqual">
      <formula>#REF!</formula>
    </cfRule>
    <cfRule type="cellIs" dxfId="2227" priority="2342" stopIfTrue="1" operator="between">
      <formula>#REF!</formula>
      <formula>#REF!</formula>
    </cfRule>
    <cfRule type="cellIs" dxfId="2226" priority="2343" stopIfTrue="1" operator="greaterThanOrEqual">
      <formula>#REF!</formula>
    </cfRule>
  </conditionalFormatting>
  <conditionalFormatting sqref="V172:Y172">
    <cfRule type="cellIs" dxfId="2225" priority="2338" stopIfTrue="1" operator="lessThanOrEqual">
      <formula>$I$8</formula>
    </cfRule>
    <cfRule type="cellIs" dxfId="2224" priority="2339" stopIfTrue="1" operator="between">
      <formula>$I$8</formula>
      <formula>$J$8</formula>
    </cfRule>
    <cfRule type="cellIs" dxfId="2223" priority="2340" stopIfTrue="1" operator="greaterThanOrEqual">
      <formula>$J$8</formula>
    </cfRule>
  </conditionalFormatting>
  <conditionalFormatting sqref="V172:Y172">
    <cfRule type="cellIs" dxfId="2222" priority="2335" stopIfTrue="1" operator="lessThanOrEqual">
      <formula>#REF!</formula>
    </cfRule>
    <cfRule type="cellIs" dxfId="2221" priority="2336" stopIfTrue="1" operator="between">
      <formula>#REF!</formula>
      <formula>#REF!</formula>
    </cfRule>
    <cfRule type="cellIs" dxfId="2220" priority="2337" stopIfTrue="1" operator="greaterThanOrEqual">
      <formula>#REF!</formula>
    </cfRule>
  </conditionalFormatting>
  <conditionalFormatting sqref="Z172:AC172">
    <cfRule type="cellIs" dxfId="2219" priority="2332" stopIfTrue="1" operator="lessThanOrEqual">
      <formula>$I$8</formula>
    </cfRule>
    <cfRule type="cellIs" dxfId="2218" priority="2333" stopIfTrue="1" operator="between">
      <formula>$I$8</formula>
      <formula>$J$8</formula>
    </cfRule>
    <cfRule type="cellIs" dxfId="2217" priority="2334" stopIfTrue="1" operator="greaterThanOrEqual">
      <formula>$J$8</formula>
    </cfRule>
  </conditionalFormatting>
  <conditionalFormatting sqref="Z172:AC172">
    <cfRule type="cellIs" dxfId="2216" priority="2329" stopIfTrue="1" operator="lessThanOrEqual">
      <formula>#REF!</formula>
    </cfRule>
    <cfRule type="cellIs" dxfId="2215" priority="2330" stopIfTrue="1" operator="between">
      <formula>#REF!</formula>
      <formula>#REF!</formula>
    </cfRule>
    <cfRule type="cellIs" dxfId="2214" priority="2331" stopIfTrue="1" operator="greaterThanOrEqual">
      <formula>#REF!</formula>
    </cfRule>
  </conditionalFormatting>
  <conditionalFormatting sqref="V175:Y175">
    <cfRule type="cellIs" dxfId="2213" priority="2326" stopIfTrue="1" operator="lessThanOrEqual">
      <formula>$I$8</formula>
    </cfRule>
    <cfRule type="cellIs" dxfId="2212" priority="2327" stopIfTrue="1" operator="between">
      <formula>$I$8</formula>
      <formula>$J$8</formula>
    </cfRule>
    <cfRule type="cellIs" dxfId="2211" priority="2328" stopIfTrue="1" operator="greaterThanOrEqual">
      <formula>$J$8</formula>
    </cfRule>
  </conditionalFormatting>
  <conditionalFormatting sqref="V175:Y175">
    <cfRule type="cellIs" dxfId="2210" priority="2323" stopIfTrue="1" operator="lessThanOrEqual">
      <formula>#REF!</formula>
    </cfRule>
    <cfRule type="cellIs" dxfId="2209" priority="2324" stopIfTrue="1" operator="between">
      <formula>#REF!</formula>
      <formula>#REF!</formula>
    </cfRule>
    <cfRule type="cellIs" dxfId="2208" priority="2325" stopIfTrue="1" operator="greaterThanOrEqual">
      <formula>#REF!</formula>
    </cfRule>
  </conditionalFormatting>
  <conditionalFormatting sqref="Z175:AC175">
    <cfRule type="cellIs" dxfId="2207" priority="2320" stopIfTrue="1" operator="lessThanOrEqual">
      <formula>$I$8</formula>
    </cfRule>
    <cfRule type="cellIs" dxfId="2206" priority="2321" stopIfTrue="1" operator="between">
      <formula>$I$8</formula>
      <formula>$J$8</formula>
    </cfRule>
    <cfRule type="cellIs" dxfId="2205" priority="2322" stopIfTrue="1" operator="greaterThanOrEqual">
      <formula>$J$8</formula>
    </cfRule>
  </conditionalFormatting>
  <conditionalFormatting sqref="Z175:AC175">
    <cfRule type="cellIs" dxfId="2204" priority="2317" stopIfTrue="1" operator="lessThanOrEqual">
      <formula>#REF!</formula>
    </cfRule>
    <cfRule type="cellIs" dxfId="2203" priority="2318" stopIfTrue="1" operator="between">
      <formula>#REF!</formula>
      <formula>#REF!</formula>
    </cfRule>
    <cfRule type="cellIs" dxfId="2202" priority="2319" stopIfTrue="1" operator="greaterThanOrEqual">
      <formula>#REF!</formula>
    </cfRule>
  </conditionalFormatting>
  <conditionalFormatting sqref="V178:Y178">
    <cfRule type="cellIs" dxfId="2201" priority="2314" stopIfTrue="1" operator="lessThanOrEqual">
      <formula>$I$8</formula>
    </cfRule>
    <cfRule type="cellIs" dxfId="2200" priority="2315" stopIfTrue="1" operator="between">
      <formula>$I$8</formula>
      <formula>$J$8</formula>
    </cfRule>
    <cfRule type="cellIs" dxfId="2199" priority="2316" stopIfTrue="1" operator="greaterThanOrEqual">
      <formula>$J$8</formula>
    </cfRule>
  </conditionalFormatting>
  <conditionalFormatting sqref="V178:Y178">
    <cfRule type="cellIs" dxfId="2198" priority="2311" stopIfTrue="1" operator="lessThanOrEqual">
      <formula>#REF!</formula>
    </cfRule>
    <cfRule type="cellIs" dxfId="2197" priority="2312" stopIfTrue="1" operator="between">
      <formula>#REF!</formula>
      <formula>#REF!</formula>
    </cfRule>
    <cfRule type="cellIs" dxfId="2196" priority="2313" stopIfTrue="1" operator="greaterThanOrEqual">
      <formula>#REF!</formula>
    </cfRule>
  </conditionalFormatting>
  <conditionalFormatting sqref="Z178:AC178">
    <cfRule type="cellIs" dxfId="2195" priority="2308" stopIfTrue="1" operator="lessThanOrEqual">
      <formula>$I$8</formula>
    </cfRule>
    <cfRule type="cellIs" dxfId="2194" priority="2309" stopIfTrue="1" operator="between">
      <formula>$I$8</formula>
      <formula>$J$8</formula>
    </cfRule>
    <cfRule type="cellIs" dxfId="2193" priority="2310" stopIfTrue="1" operator="greaterThanOrEqual">
      <formula>$J$8</formula>
    </cfRule>
  </conditionalFormatting>
  <conditionalFormatting sqref="Z178:AC178">
    <cfRule type="cellIs" dxfId="2192" priority="2305" stopIfTrue="1" operator="lessThanOrEqual">
      <formula>#REF!</formula>
    </cfRule>
    <cfRule type="cellIs" dxfId="2191" priority="2306" stopIfTrue="1" operator="between">
      <formula>#REF!</formula>
      <formula>#REF!</formula>
    </cfRule>
    <cfRule type="cellIs" dxfId="2190" priority="2307" stopIfTrue="1" operator="greaterThanOrEqual">
      <formula>#REF!</formula>
    </cfRule>
  </conditionalFormatting>
  <conditionalFormatting sqref="V181:Y181">
    <cfRule type="cellIs" dxfId="2189" priority="2302" stopIfTrue="1" operator="lessThanOrEqual">
      <formula>$I$8</formula>
    </cfRule>
    <cfRule type="cellIs" dxfId="2188" priority="2303" stopIfTrue="1" operator="between">
      <formula>$I$8</formula>
      <formula>$J$8</formula>
    </cfRule>
    <cfRule type="cellIs" dxfId="2187" priority="2304" stopIfTrue="1" operator="greaterThanOrEqual">
      <formula>$J$8</formula>
    </cfRule>
  </conditionalFormatting>
  <conditionalFormatting sqref="V181:Y181">
    <cfRule type="cellIs" dxfId="2186" priority="2299" stopIfTrue="1" operator="lessThanOrEqual">
      <formula>#REF!</formula>
    </cfRule>
    <cfRule type="cellIs" dxfId="2185" priority="2300" stopIfTrue="1" operator="between">
      <formula>#REF!</formula>
      <formula>#REF!</formula>
    </cfRule>
    <cfRule type="cellIs" dxfId="2184" priority="2301" stopIfTrue="1" operator="greaterThanOrEqual">
      <formula>#REF!</formula>
    </cfRule>
  </conditionalFormatting>
  <conditionalFormatting sqref="Z181:AC181">
    <cfRule type="cellIs" dxfId="2183" priority="2296" stopIfTrue="1" operator="lessThanOrEqual">
      <formula>$I$8</formula>
    </cfRule>
    <cfRule type="cellIs" dxfId="2182" priority="2297" stopIfTrue="1" operator="between">
      <formula>$I$8</formula>
      <formula>$J$8</formula>
    </cfRule>
    <cfRule type="cellIs" dxfId="2181" priority="2298" stopIfTrue="1" operator="greaterThanOrEqual">
      <formula>$J$8</formula>
    </cfRule>
  </conditionalFormatting>
  <conditionalFormatting sqref="Z181:AC181">
    <cfRule type="cellIs" dxfId="2180" priority="2293" stopIfTrue="1" operator="lessThanOrEqual">
      <formula>#REF!</formula>
    </cfRule>
    <cfRule type="cellIs" dxfId="2179" priority="2294" stopIfTrue="1" operator="between">
      <formula>#REF!</formula>
      <formula>#REF!</formula>
    </cfRule>
    <cfRule type="cellIs" dxfId="2178" priority="2295" stopIfTrue="1" operator="greaterThanOrEqual">
      <formula>#REF!</formula>
    </cfRule>
  </conditionalFormatting>
  <conditionalFormatting sqref="V184:Y184">
    <cfRule type="cellIs" dxfId="2177" priority="2290" stopIfTrue="1" operator="lessThanOrEqual">
      <formula>$I$8</formula>
    </cfRule>
    <cfRule type="cellIs" dxfId="2176" priority="2291" stopIfTrue="1" operator="between">
      <formula>$I$8</formula>
      <formula>$J$8</formula>
    </cfRule>
    <cfRule type="cellIs" dxfId="2175" priority="2292" stopIfTrue="1" operator="greaterThanOrEqual">
      <formula>$J$8</formula>
    </cfRule>
  </conditionalFormatting>
  <conditionalFormatting sqref="V184:Y184">
    <cfRule type="cellIs" dxfId="2174" priority="2287" stopIfTrue="1" operator="lessThanOrEqual">
      <formula>#REF!</formula>
    </cfRule>
    <cfRule type="cellIs" dxfId="2173" priority="2288" stopIfTrue="1" operator="between">
      <formula>#REF!</formula>
      <formula>#REF!</formula>
    </cfRule>
    <cfRule type="cellIs" dxfId="2172" priority="2289" stopIfTrue="1" operator="greaterThanOrEqual">
      <formula>#REF!</formula>
    </cfRule>
  </conditionalFormatting>
  <conditionalFormatting sqref="Z184:AC184">
    <cfRule type="cellIs" dxfId="2171" priority="2284" stopIfTrue="1" operator="lessThanOrEqual">
      <formula>$I$8</formula>
    </cfRule>
    <cfRule type="cellIs" dxfId="2170" priority="2285" stopIfTrue="1" operator="between">
      <formula>$I$8</formula>
      <formula>$J$8</formula>
    </cfRule>
    <cfRule type="cellIs" dxfId="2169" priority="2286" stopIfTrue="1" operator="greaterThanOrEqual">
      <formula>$J$8</formula>
    </cfRule>
  </conditionalFormatting>
  <conditionalFormatting sqref="Z184:AC184">
    <cfRule type="cellIs" dxfId="2168" priority="2281" stopIfTrue="1" operator="lessThanOrEqual">
      <formula>#REF!</formula>
    </cfRule>
    <cfRule type="cellIs" dxfId="2167" priority="2282" stopIfTrue="1" operator="between">
      <formula>#REF!</formula>
      <formula>#REF!</formula>
    </cfRule>
    <cfRule type="cellIs" dxfId="2166" priority="2283" stopIfTrue="1" operator="greaterThanOrEqual">
      <formula>#REF!</formula>
    </cfRule>
  </conditionalFormatting>
  <conditionalFormatting sqref="V190:X190">
    <cfRule type="cellIs" dxfId="2165" priority="2263" stopIfTrue="1" operator="lessThanOrEqual">
      <formula>#REF!</formula>
    </cfRule>
    <cfRule type="cellIs" dxfId="2164" priority="2264" stopIfTrue="1" operator="between">
      <formula>#REF!</formula>
      <formula>#REF!</formula>
    </cfRule>
    <cfRule type="cellIs" dxfId="2163" priority="2265" stopIfTrue="1" operator="greaterThanOrEqual">
      <formula>#REF!</formula>
    </cfRule>
  </conditionalFormatting>
  <conditionalFormatting sqref="Z190:AB190">
    <cfRule type="cellIs" dxfId="2162" priority="2257" stopIfTrue="1" operator="lessThanOrEqual">
      <formula>#REF!</formula>
    </cfRule>
    <cfRule type="cellIs" dxfId="2161" priority="2258" stopIfTrue="1" operator="between">
      <formula>#REF!</formula>
      <formula>#REF!</formula>
    </cfRule>
    <cfRule type="cellIs" dxfId="2160" priority="2259" stopIfTrue="1" operator="greaterThanOrEqual">
      <formula>#REF!</formula>
    </cfRule>
  </conditionalFormatting>
  <conditionalFormatting sqref="V187:Y187">
    <cfRule type="cellIs" dxfId="2159" priority="2275" stopIfTrue="1" operator="lessThanOrEqual">
      <formula>#REF!</formula>
    </cfRule>
    <cfRule type="cellIs" dxfId="2158" priority="2276" stopIfTrue="1" operator="between">
      <formula>#REF!</formula>
      <formula>#REF!</formula>
    </cfRule>
    <cfRule type="cellIs" dxfId="2157" priority="2277" stopIfTrue="1" operator="greaterThanOrEqual">
      <formula>#REF!</formula>
    </cfRule>
  </conditionalFormatting>
  <conditionalFormatting sqref="Z187:AC187">
    <cfRule type="cellIs" dxfId="2156" priority="2269" stopIfTrue="1" operator="lessThanOrEqual">
      <formula>#REF!</formula>
    </cfRule>
    <cfRule type="cellIs" dxfId="2155" priority="2270" stopIfTrue="1" operator="between">
      <formula>#REF!</formula>
      <formula>#REF!</formula>
    </cfRule>
    <cfRule type="cellIs" dxfId="2154" priority="2271" stopIfTrue="1" operator="greaterThanOrEqual">
      <formula>#REF!</formula>
    </cfRule>
  </conditionalFormatting>
  <conditionalFormatting sqref="V374:AC374">
    <cfRule type="cellIs" dxfId="2153" priority="2251" stopIfTrue="1" operator="lessThanOrEqual">
      <formula>#REF!</formula>
    </cfRule>
    <cfRule type="cellIs" dxfId="2152" priority="2252" stopIfTrue="1" operator="between">
      <formula>#REF!</formula>
      <formula>#REF!</formula>
    </cfRule>
    <cfRule type="cellIs" dxfId="2151" priority="2253" stopIfTrue="1" operator="greaterThanOrEqual">
      <formula>#REF!</formula>
    </cfRule>
  </conditionalFormatting>
  <conditionalFormatting sqref="Y383 AC383">
    <cfRule type="cellIs" dxfId="2150" priority="2248" stopIfTrue="1" operator="lessThanOrEqual">
      <formula>#REF!</formula>
    </cfRule>
    <cfRule type="cellIs" dxfId="2149" priority="2249" stopIfTrue="1" operator="between">
      <formula>#REF!</formula>
      <formula>#REF!</formula>
    </cfRule>
    <cfRule type="cellIs" dxfId="2148" priority="2250" stopIfTrue="1" operator="greaterThanOrEqual">
      <formula>#REF!</formula>
    </cfRule>
  </conditionalFormatting>
  <conditionalFormatting sqref="V380:AC380">
    <cfRule type="cellIs" dxfId="2147" priority="2242" stopIfTrue="1" operator="lessThanOrEqual">
      <formula>#REF!</formula>
    </cfRule>
    <cfRule type="cellIs" dxfId="2146" priority="2243" stopIfTrue="1" operator="between">
      <formula>#REF!</formula>
      <formula>#REF!</formula>
    </cfRule>
    <cfRule type="cellIs" dxfId="2145" priority="2244" stopIfTrue="1" operator="greaterThanOrEqual">
      <formula>#REF!</formula>
    </cfRule>
  </conditionalFormatting>
  <conditionalFormatting sqref="V386:AC386">
    <cfRule type="cellIs" dxfId="2144" priority="2236" stopIfTrue="1" operator="lessThanOrEqual">
      <formula>#REF!</formula>
    </cfRule>
    <cfRule type="cellIs" dxfId="2143" priority="2237" stopIfTrue="1" operator="between">
      <formula>#REF!</formula>
      <formula>#REF!</formula>
    </cfRule>
    <cfRule type="cellIs" dxfId="2142" priority="2238" stopIfTrue="1" operator="greaterThanOrEqual">
      <formula>#REF!</formula>
    </cfRule>
  </conditionalFormatting>
  <conditionalFormatting sqref="V389:AC389">
    <cfRule type="cellIs" dxfId="2141" priority="2230" stopIfTrue="1" operator="lessThanOrEqual">
      <formula>#REF!</formula>
    </cfRule>
    <cfRule type="cellIs" dxfId="2140" priority="2231" stopIfTrue="1" operator="between">
      <formula>#REF!</formula>
      <formula>#REF!</formula>
    </cfRule>
    <cfRule type="cellIs" dxfId="2139" priority="2232" stopIfTrue="1" operator="greaterThanOrEqual">
      <formula>#REF!</formula>
    </cfRule>
  </conditionalFormatting>
  <conditionalFormatting sqref="V395:AC395">
    <cfRule type="cellIs" dxfId="2138" priority="2224" stopIfTrue="1" operator="lessThanOrEqual">
      <formula>#REF!</formula>
    </cfRule>
    <cfRule type="cellIs" dxfId="2137" priority="2225" stopIfTrue="1" operator="between">
      <formula>#REF!</formula>
      <formula>#REF!</formula>
    </cfRule>
    <cfRule type="cellIs" dxfId="2136" priority="2226" stopIfTrue="1" operator="greaterThanOrEqual">
      <formula>#REF!</formula>
    </cfRule>
  </conditionalFormatting>
  <conditionalFormatting sqref="V377:AC377">
    <cfRule type="cellIs" dxfId="2135" priority="2218" stopIfTrue="1" operator="lessThanOrEqual">
      <formula>#REF!</formula>
    </cfRule>
    <cfRule type="cellIs" dxfId="2134" priority="2219" stopIfTrue="1" operator="between">
      <formula>#REF!</formula>
      <formula>#REF!</formula>
    </cfRule>
    <cfRule type="cellIs" dxfId="2133" priority="2220" stopIfTrue="1" operator="greaterThanOrEqual">
      <formula>#REF!</formula>
    </cfRule>
  </conditionalFormatting>
  <conditionalFormatting sqref="W392">
    <cfRule type="cellIs" dxfId="2132" priority="2212" stopIfTrue="1" operator="lessThanOrEqual">
      <formula>#REF!</formula>
    </cfRule>
    <cfRule type="cellIs" dxfId="2131" priority="2213" stopIfTrue="1" operator="between">
      <formula>#REF!</formula>
      <formula>#REF!</formula>
    </cfRule>
    <cfRule type="cellIs" dxfId="2130" priority="2214" stopIfTrue="1" operator="greaterThanOrEqual">
      <formula>#REF!</formula>
    </cfRule>
  </conditionalFormatting>
  <conditionalFormatting sqref="AA392">
    <cfRule type="cellIs" dxfId="2129" priority="2206" stopIfTrue="1" operator="lessThanOrEqual">
      <formula>#REF!</formula>
    </cfRule>
    <cfRule type="cellIs" dxfId="2128" priority="2207" stopIfTrue="1" operator="between">
      <formula>#REF!</formula>
      <formula>#REF!</formula>
    </cfRule>
    <cfRule type="cellIs" dxfId="2127" priority="2208" stopIfTrue="1" operator="greaterThanOrEqual">
      <formula>#REF!</formula>
    </cfRule>
  </conditionalFormatting>
  <conditionalFormatting sqref="V218:Y218">
    <cfRule type="cellIs" dxfId="2126" priority="2200" stopIfTrue="1" operator="lessThanOrEqual">
      <formula>#REF!</formula>
    </cfRule>
    <cfRule type="cellIs" dxfId="2125" priority="2201" stopIfTrue="1" operator="between">
      <formula>#REF!</formula>
      <formula>#REF!</formula>
    </cfRule>
    <cfRule type="cellIs" dxfId="2124" priority="2202" stopIfTrue="1" operator="greaterThanOrEqual">
      <formula>#REF!</formula>
    </cfRule>
  </conditionalFormatting>
  <conditionalFormatting sqref="Z218:AC218">
    <cfRule type="cellIs" dxfId="2123" priority="2194" stopIfTrue="1" operator="lessThanOrEqual">
      <formula>#REF!</formula>
    </cfRule>
    <cfRule type="cellIs" dxfId="2122" priority="2195" stopIfTrue="1" operator="between">
      <formula>#REF!</formula>
      <formula>#REF!</formula>
    </cfRule>
    <cfRule type="cellIs" dxfId="2121" priority="2196" stopIfTrue="1" operator="greaterThanOrEqual">
      <formula>#REF!</formula>
    </cfRule>
  </conditionalFormatting>
  <conditionalFormatting sqref="V209:Y209">
    <cfRule type="cellIs" dxfId="2120" priority="2188" stopIfTrue="1" operator="lessThanOrEqual">
      <formula>#REF!</formula>
    </cfRule>
    <cfRule type="cellIs" dxfId="2119" priority="2189" stopIfTrue="1" operator="between">
      <formula>#REF!</formula>
      <formula>#REF!</formula>
    </cfRule>
    <cfRule type="cellIs" dxfId="2118" priority="2190" stopIfTrue="1" operator="greaterThanOrEqual">
      <formula>#REF!</formula>
    </cfRule>
  </conditionalFormatting>
  <conditionalFormatting sqref="Z209:AC209">
    <cfRule type="cellIs" dxfId="2117" priority="2182" stopIfTrue="1" operator="lessThanOrEqual">
      <formula>#REF!</formula>
    </cfRule>
    <cfRule type="cellIs" dxfId="2116" priority="2183" stopIfTrue="1" operator="between">
      <formula>#REF!</formula>
      <formula>#REF!</formula>
    </cfRule>
    <cfRule type="cellIs" dxfId="2115" priority="2184" stopIfTrue="1" operator="greaterThanOrEqual">
      <formula>#REF!</formula>
    </cfRule>
  </conditionalFormatting>
  <conditionalFormatting sqref="V215:W215 Y215">
    <cfRule type="cellIs" dxfId="2114" priority="2176" stopIfTrue="1" operator="lessThanOrEqual">
      <formula>#REF!</formula>
    </cfRule>
    <cfRule type="cellIs" dxfId="2113" priority="2177" stopIfTrue="1" operator="between">
      <formula>#REF!</formula>
      <formula>#REF!</formula>
    </cfRule>
    <cfRule type="cellIs" dxfId="2112" priority="2178" stopIfTrue="1" operator="greaterThanOrEqual">
      <formula>#REF!</formula>
    </cfRule>
  </conditionalFormatting>
  <conditionalFormatting sqref="AA215 AC215">
    <cfRule type="cellIs" dxfId="2111" priority="2170" stopIfTrue="1" operator="lessThanOrEqual">
      <formula>#REF!</formula>
    </cfRule>
    <cfRule type="cellIs" dxfId="2110" priority="2171" stopIfTrue="1" operator="between">
      <formula>#REF!</formula>
      <formula>#REF!</formula>
    </cfRule>
    <cfRule type="cellIs" dxfId="2109" priority="2172" stopIfTrue="1" operator="greaterThanOrEqual">
      <formula>#REF!</formula>
    </cfRule>
  </conditionalFormatting>
  <conditionalFormatting sqref="X242">
    <cfRule type="cellIs" dxfId="2108" priority="2164" stopIfTrue="1" operator="lessThanOrEqual">
      <formula>#REF!</formula>
    </cfRule>
    <cfRule type="cellIs" dxfId="2107" priority="2165" stopIfTrue="1" operator="between">
      <formula>#REF!</formula>
      <formula>#REF!</formula>
    </cfRule>
    <cfRule type="cellIs" dxfId="2106" priority="2166" stopIfTrue="1" operator="greaterThanOrEqual">
      <formula>#REF!</formula>
    </cfRule>
  </conditionalFormatting>
  <conditionalFormatting sqref="AA242">
    <cfRule type="cellIs" dxfId="2105" priority="2158" stopIfTrue="1" operator="lessThanOrEqual">
      <formula>#REF!</formula>
    </cfRule>
    <cfRule type="cellIs" dxfId="2104" priority="2159" stopIfTrue="1" operator="between">
      <formula>#REF!</formula>
      <formula>#REF!</formula>
    </cfRule>
    <cfRule type="cellIs" dxfId="2103" priority="2160" stopIfTrue="1" operator="greaterThanOrEqual">
      <formula>#REF!</formula>
    </cfRule>
  </conditionalFormatting>
  <conditionalFormatting sqref="AB242">
    <cfRule type="cellIs" dxfId="2102" priority="2152" stopIfTrue="1" operator="lessThanOrEqual">
      <formula>#REF!</formula>
    </cfRule>
    <cfRule type="cellIs" dxfId="2101" priority="2153" stopIfTrue="1" operator="between">
      <formula>#REF!</formula>
      <formula>#REF!</formula>
    </cfRule>
    <cfRule type="cellIs" dxfId="2100" priority="2154" stopIfTrue="1" operator="greaterThanOrEqual">
      <formula>#REF!</formula>
    </cfRule>
  </conditionalFormatting>
  <conditionalFormatting sqref="W242">
    <cfRule type="cellIs" dxfId="2099" priority="2146" stopIfTrue="1" operator="lessThanOrEqual">
      <formula>#REF!</formula>
    </cfRule>
    <cfRule type="cellIs" dxfId="2098" priority="2147" stopIfTrue="1" operator="between">
      <formula>#REF!</formula>
      <formula>#REF!</formula>
    </cfRule>
    <cfRule type="cellIs" dxfId="2097" priority="2148" stopIfTrue="1" operator="greaterThanOrEqual">
      <formula>#REF!</formula>
    </cfRule>
  </conditionalFormatting>
  <conditionalFormatting sqref="Z239:AA239">
    <cfRule type="cellIs" dxfId="2096" priority="2131" stopIfTrue="1" operator="lessThanOrEqual">
      <formula>$I$8</formula>
    </cfRule>
    <cfRule type="cellIs" dxfId="2095" priority="2132" stopIfTrue="1" operator="between">
      <formula>$I$8</formula>
      <formula>$J$8</formula>
    </cfRule>
    <cfRule type="cellIs" dxfId="2094" priority="2133" stopIfTrue="1" operator="greaterThanOrEqual">
      <formula>$J$8</formula>
    </cfRule>
  </conditionalFormatting>
  <conditionalFormatting sqref="Z239:AA239">
    <cfRule type="cellIs" dxfId="2093" priority="2128" stopIfTrue="1" operator="lessThanOrEqual">
      <formula>#REF!</formula>
    </cfRule>
    <cfRule type="cellIs" dxfId="2092" priority="2129" stopIfTrue="1" operator="between">
      <formula>#REF!</formula>
      <formula>#REF!</formula>
    </cfRule>
    <cfRule type="cellIs" dxfId="2091" priority="2130" stopIfTrue="1" operator="greaterThanOrEqual">
      <formula>#REF!</formula>
    </cfRule>
  </conditionalFormatting>
  <conditionalFormatting sqref="V239:W239">
    <cfRule type="cellIs" dxfId="2090" priority="2125" stopIfTrue="1" operator="lessThanOrEqual">
      <formula>$I$8</formula>
    </cfRule>
    <cfRule type="cellIs" dxfId="2089" priority="2126" stopIfTrue="1" operator="between">
      <formula>$I$8</formula>
      <formula>$J$8</formula>
    </cfRule>
    <cfRule type="cellIs" dxfId="2088" priority="2127" stopIfTrue="1" operator="greaterThanOrEqual">
      <formula>$J$8</formula>
    </cfRule>
  </conditionalFormatting>
  <conditionalFormatting sqref="V239:W239">
    <cfRule type="cellIs" dxfId="2087" priority="2122" stopIfTrue="1" operator="lessThanOrEqual">
      <formula>#REF!</formula>
    </cfRule>
    <cfRule type="cellIs" dxfId="2086" priority="2123" stopIfTrue="1" operator="between">
      <formula>#REF!</formula>
      <formula>#REF!</formula>
    </cfRule>
    <cfRule type="cellIs" dxfId="2085" priority="2124" stopIfTrue="1" operator="greaterThanOrEqual">
      <formula>#REF!</formula>
    </cfRule>
  </conditionalFormatting>
  <conditionalFormatting sqref="W236:Y236">
    <cfRule type="cellIs" dxfId="2084" priority="2143" stopIfTrue="1" operator="lessThanOrEqual">
      <formula>$I$8</formula>
    </cfRule>
    <cfRule type="cellIs" dxfId="2083" priority="2144" stopIfTrue="1" operator="between">
      <formula>$I$8</formula>
      <formula>$J$8</formula>
    </cfRule>
    <cfRule type="cellIs" dxfId="2082" priority="2145" stopIfTrue="1" operator="greaterThanOrEqual">
      <formula>$J$8</formula>
    </cfRule>
  </conditionalFormatting>
  <conditionalFormatting sqref="W236:Y236">
    <cfRule type="cellIs" dxfId="2081" priority="2140" stopIfTrue="1" operator="lessThanOrEqual">
      <formula>#REF!</formula>
    </cfRule>
    <cfRule type="cellIs" dxfId="2080" priority="2141" stopIfTrue="1" operator="between">
      <formula>#REF!</formula>
      <formula>#REF!</formula>
    </cfRule>
    <cfRule type="cellIs" dxfId="2079" priority="2142" stopIfTrue="1" operator="greaterThanOrEqual">
      <formula>#REF!</formula>
    </cfRule>
  </conditionalFormatting>
  <conditionalFormatting sqref="AA236:AC236">
    <cfRule type="cellIs" dxfId="2078" priority="2137" stopIfTrue="1" operator="lessThanOrEqual">
      <formula>$I$8</formula>
    </cfRule>
    <cfRule type="cellIs" dxfId="2077" priority="2138" stopIfTrue="1" operator="between">
      <formula>$I$8</formula>
      <formula>$J$8</formula>
    </cfRule>
    <cfRule type="cellIs" dxfId="2076" priority="2139" stopIfTrue="1" operator="greaterThanOrEqual">
      <formula>$J$8</formula>
    </cfRule>
  </conditionalFormatting>
  <conditionalFormatting sqref="AA236:AC236">
    <cfRule type="cellIs" dxfId="2075" priority="2134" stopIfTrue="1" operator="lessThanOrEqual">
      <formula>#REF!</formula>
    </cfRule>
    <cfRule type="cellIs" dxfId="2074" priority="2135" stopIfTrue="1" operator="between">
      <formula>#REF!</formula>
      <formula>#REF!</formula>
    </cfRule>
    <cfRule type="cellIs" dxfId="2073" priority="2136" stopIfTrue="1" operator="greaterThanOrEqual">
      <formula>#REF!</formula>
    </cfRule>
  </conditionalFormatting>
  <conditionalFormatting sqref="Z245:AC245">
    <cfRule type="cellIs" dxfId="2072" priority="2113" stopIfTrue="1" operator="lessThanOrEqual">
      <formula>$I$8</formula>
    </cfRule>
    <cfRule type="cellIs" dxfId="2071" priority="2114" stopIfTrue="1" operator="between">
      <formula>$I$8</formula>
      <formula>$J$8</formula>
    </cfRule>
    <cfRule type="cellIs" dxfId="2070" priority="2115" stopIfTrue="1" operator="greaterThanOrEqual">
      <formula>$J$8</formula>
    </cfRule>
  </conditionalFormatting>
  <conditionalFormatting sqref="Z245:AC245">
    <cfRule type="cellIs" dxfId="2069" priority="2110" stopIfTrue="1" operator="lessThanOrEqual">
      <formula>#REF!</formula>
    </cfRule>
    <cfRule type="cellIs" dxfId="2068" priority="2111" stopIfTrue="1" operator="between">
      <formula>#REF!</formula>
      <formula>#REF!</formula>
    </cfRule>
    <cfRule type="cellIs" dxfId="2067" priority="2112" stopIfTrue="1" operator="greaterThanOrEqual">
      <formula>#REF!</formula>
    </cfRule>
  </conditionalFormatting>
  <conditionalFormatting sqref="V245:Y245">
    <cfRule type="cellIs" dxfId="2066" priority="2119" stopIfTrue="1" operator="lessThanOrEqual">
      <formula>$I$8</formula>
    </cfRule>
    <cfRule type="cellIs" dxfId="2065" priority="2120" stopIfTrue="1" operator="between">
      <formula>$I$8</formula>
      <formula>$J$8</formula>
    </cfRule>
    <cfRule type="cellIs" dxfId="2064" priority="2121" stopIfTrue="1" operator="greaterThanOrEqual">
      <formula>$J$8</formula>
    </cfRule>
  </conditionalFormatting>
  <conditionalFormatting sqref="V245:Y245">
    <cfRule type="cellIs" dxfId="2063" priority="2116" stopIfTrue="1" operator="lessThanOrEqual">
      <formula>#REF!</formula>
    </cfRule>
    <cfRule type="cellIs" dxfId="2062" priority="2117" stopIfTrue="1" operator="between">
      <formula>#REF!</formula>
      <formula>#REF!</formula>
    </cfRule>
    <cfRule type="cellIs" dxfId="2061" priority="2118" stopIfTrue="1" operator="greaterThanOrEqual">
      <formula>#REF!</formula>
    </cfRule>
  </conditionalFormatting>
  <conditionalFormatting sqref="X215">
    <cfRule type="cellIs" dxfId="2060" priority="2107" stopIfTrue="1" operator="lessThanOrEqual">
      <formula>$I$8</formula>
    </cfRule>
    <cfRule type="cellIs" dxfId="2059" priority="2108" stopIfTrue="1" operator="between">
      <formula>$I$8</formula>
      <formula>$J$8</formula>
    </cfRule>
    <cfRule type="cellIs" dxfId="2058" priority="2109" stopIfTrue="1" operator="greaterThanOrEqual">
      <formula>$J$8</formula>
    </cfRule>
  </conditionalFormatting>
  <conditionalFormatting sqref="X215">
    <cfRule type="cellIs" dxfId="2057" priority="2104" stopIfTrue="1" operator="lessThanOrEqual">
      <formula>#REF!</formula>
    </cfRule>
    <cfRule type="cellIs" dxfId="2056" priority="2105" stopIfTrue="1" operator="between">
      <formula>#REF!</formula>
      <formula>#REF!</formula>
    </cfRule>
    <cfRule type="cellIs" dxfId="2055" priority="2106" stopIfTrue="1" operator="greaterThanOrEqual">
      <formula>#REF!</formula>
    </cfRule>
  </conditionalFormatting>
  <conditionalFormatting sqref="Z215">
    <cfRule type="cellIs" dxfId="2054" priority="2101" stopIfTrue="1" operator="lessThanOrEqual">
      <formula>$I$8</formula>
    </cfRule>
    <cfRule type="cellIs" dxfId="2053" priority="2102" stopIfTrue="1" operator="between">
      <formula>$I$8</formula>
      <formula>$J$8</formula>
    </cfRule>
    <cfRule type="cellIs" dxfId="2052" priority="2103" stopIfTrue="1" operator="greaterThanOrEqual">
      <formula>$J$8</formula>
    </cfRule>
  </conditionalFormatting>
  <conditionalFormatting sqref="Z215">
    <cfRule type="cellIs" dxfId="2051" priority="2098" stopIfTrue="1" operator="lessThanOrEqual">
      <formula>#REF!</formula>
    </cfRule>
    <cfRule type="cellIs" dxfId="2050" priority="2099" stopIfTrue="1" operator="between">
      <formula>#REF!</formula>
      <formula>#REF!</formula>
    </cfRule>
    <cfRule type="cellIs" dxfId="2049" priority="2100" stopIfTrue="1" operator="greaterThanOrEqual">
      <formula>#REF!</formula>
    </cfRule>
  </conditionalFormatting>
  <conditionalFormatting sqref="AB215">
    <cfRule type="cellIs" dxfId="2048" priority="2095" stopIfTrue="1" operator="lessThanOrEqual">
      <formula>$I$8</formula>
    </cfRule>
    <cfRule type="cellIs" dxfId="2047" priority="2096" stopIfTrue="1" operator="between">
      <formula>$I$8</formula>
      <formula>$J$8</formula>
    </cfRule>
    <cfRule type="cellIs" dxfId="2046" priority="2097" stopIfTrue="1" operator="greaterThanOrEqual">
      <formula>$J$8</formula>
    </cfRule>
  </conditionalFormatting>
  <conditionalFormatting sqref="AB215">
    <cfRule type="cellIs" dxfId="2045" priority="2092" stopIfTrue="1" operator="lessThanOrEqual">
      <formula>#REF!</formula>
    </cfRule>
    <cfRule type="cellIs" dxfId="2044" priority="2093" stopIfTrue="1" operator="between">
      <formula>#REF!</formula>
      <formula>#REF!</formula>
    </cfRule>
    <cfRule type="cellIs" dxfId="2043" priority="2094" stopIfTrue="1" operator="greaterThanOrEqual">
      <formula>#REF!</formula>
    </cfRule>
  </conditionalFormatting>
  <conditionalFormatting sqref="V221:Y221">
    <cfRule type="cellIs" dxfId="2042" priority="2089" stopIfTrue="1" operator="lessThanOrEqual">
      <formula>$I$8</formula>
    </cfRule>
    <cfRule type="cellIs" dxfId="2041" priority="2090" stopIfTrue="1" operator="between">
      <formula>$I$8</formula>
      <formula>$J$8</formula>
    </cfRule>
    <cfRule type="cellIs" dxfId="2040" priority="2091" stopIfTrue="1" operator="greaterThanOrEqual">
      <formula>$J$8</formula>
    </cfRule>
  </conditionalFormatting>
  <conditionalFormatting sqref="V221:Y221">
    <cfRule type="cellIs" dxfId="2039" priority="2086" stopIfTrue="1" operator="lessThanOrEqual">
      <formula>#REF!</formula>
    </cfRule>
    <cfRule type="cellIs" dxfId="2038" priority="2087" stopIfTrue="1" operator="between">
      <formula>#REF!</formula>
      <formula>#REF!</formula>
    </cfRule>
    <cfRule type="cellIs" dxfId="2037" priority="2088" stopIfTrue="1" operator="greaterThanOrEqual">
      <formula>#REF!</formula>
    </cfRule>
  </conditionalFormatting>
  <conditionalFormatting sqref="Z221:AC221">
    <cfRule type="cellIs" dxfId="2036" priority="2083" stopIfTrue="1" operator="lessThanOrEqual">
      <formula>$I$8</formula>
    </cfRule>
    <cfRule type="cellIs" dxfId="2035" priority="2084" stopIfTrue="1" operator="between">
      <formula>$I$8</formula>
      <formula>$J$8</formula>
    </cfRule>
    <cfRule type="cellIs" dxfId="2034" priority="2085" stopIfTrue="1" operator="greaterThanOrEqual">
      <formula>$J$8</formula>
    </cfRule>
  </conditionalFormatting>
  <conditionalFormatting sqref="Z221:AC221">
    <cfRule type="cellIs" dxfId="2033" priority="2080" stopIfTrue="1" operator="lessThanOrEqual">
      <formula>#REF!</formula>
    </cfRule>
    <cfRule type="cellIs" dxfId="2032" priority="2081" stopIfTrue="1" operator="between">
      <formula>#REF!</formula>
      <formula>#REF!</formula>
    </cfRule>
    <cfRule type="cellIs" dxfId="2031" priority="2082" stopIfTrue="1" operator="greaterThanOrEqual">
      <formula>#REF!</formula>
    </cfRule>
  </conditionalFormatting>
  <conditionalFormatting sqref="Z254:AC254">
    <cfRule type="cellIs" dxfId="2030" priority="2071" stopIfTrue="1" operator="lessThanOrEqual">
      <formula>$I$8</formula>
    </cfRule>
    <cfRule type="cellIs" dxfId="2029" priority="2072" stopIfTrue="1" operator="between">
      <formula>$I$8</formula>
      <formula>$J$8</formula>
    </cfRule>
    <cfRule type="cellIs" dxfId="2028" priority="2073" stopIfTrue="1" operator="greaterThanOrEqual">
      <formula>$J$8</formula>
    </cfRule>
  </conditionalFormatting>
  <conditionalFormatting sqref="Z254:AC254">
    <cfRule type="cellIs" dxfId="2027" priority="2068" stopIfTrue="1" operator="lessThanOrEqual">
      <formula>#REF!</formula>
    </cfRule>
    <cfRule type="cellIs" dxfId="2026" priority="2069" stopIfTrue="1" operator="between">
      <formula>#REF!</formula>
      <formula>#REF!</formula>
    </cfRule>
    <cfRule type="cellIs" dxfId="2025" priority="2070" stopIfTrue="1" operator="greaterThanOrEqual">
      <formula>#REF!</formula>
    </cfRule>
  </conditionalFormatting>
  <conditionalFormatting sqref="V254:Y254">
    <cfRule type="cellIs" dxfId="2024" priority="2077" stopIfTrue="1" operator="lessThanOrEqual">
      <formula>$I$8</formula>
    </cfRule>
    <cfRule type="cellIs" dxfId="2023" priority="2078" stopIfTrue="1" operator="between">
      <formula>$I$8</formula>
      <formula>$J$8</formula>
    </cfRule>
    <cfRule type="cellIs" dxfId="2022" priority="2079" stopIfTrue="1" operator="greaterThanOrEqual">
      <formula>$J$8</formula>
    </cfRule>
  </conditionalFormatting>
  <conditionalFormatting sqref="V254:Y254">
    <cfRule type="cellIs" dxfId="2021" priority="2074" stopIfTrue="1" operator="lessThanOrEqual">
      <formula>#REF!</formula>
    </cfRule>
    <cfRule type="cellIs" dxfId="2020" priority="2075" stopIfTrue="1" operator="between">
      <formula>#REF!</formula>
      <formula>#REF!</formula>
    </cfRule>
    <cfRule type="cellIs" dxfId="2019" priority="2076" stopIfTrue="1" operator="greaterThanOrEqual">
      <formula>#REF!</formula>
    </cfRule>
  </conditionalFormatting>
  <conditionalFormatting sqref="V242">
    <cfRule type="cellIs" dxfId="2018" priority="2065" stopIfTrue="1" operator="lessThanOrEqual">
      <formula>$I$8</formula>
    </cfRule>
    <cfRule type="cellIs" dxfId="2017" priority="2066" stopIfTrue="1" operator="between">
      <formula>$I$8</formula>
      <formula>$J$8</formula>
    </cfRule>
    <cfRule type="cellIs" dxfId="2016" priority="2067" stopIfTrue="1" operator="greaterThanOrEqual">
      <formula>$J$8</formula>
    </cfRule>
  </conditionalFormatting>
  <conditionalFormatting sqref="V242">
    <cfRule type="cellIs" dxfId="2015" priority="2062" stopIfTrue="1" operator="lessThanOrEqual">
      <formula>#REF!</formula>
    </cfRule>
    <cfRule type="cellIs" dxfId="2014" priority="2063" stopIfTrue="1" operator="between">
      <formula>#REF!</formula>
      <formula>#REF!</formula>
    </cfRule>
    <cfRule type="cellIs" dxfId="2013" priority="2064" stopIfTrue="1" operator="greaterThanOrEqual">
      <formula>#REF!</formula>
    </cfRule>
  </conditionalFormatting>
  <conditionalFormatting sqref="Z242">
    <cfRule type="cellIs" dxfId="2012" priority="2059" stopIfTrue="1" operator="lessThanOrEqual">
      <formula>$I$8</formula>
    </cfRule>
    <cfRule type="cellIs" dxfId="2011" priority="2060" stopIfTrue="1" operator="between">
      <formula>$I$8</formula>
      <formula>$J$8</formula>
    </cfRule>
    <cfRule type="cellIs" dxfId="2010" priority="2061" stopIfTrue="1" operator="greaterThanOrEqual">
      <formula>$J$8</formula>
    </cfRule>
  </conditionalFormatting>
  <conditionalFormatting sqref="Z242">
    <cfRule type="cellIs" dxfId="2009" priority="2056" stopIfTrue="1" operator="lessThanOrEqual">
      <formula>#REF!</formula>
    </cfRule>
    <cfRule type="cellIs" dxfId="2008" priority="2057" stopIfTrue="1" operator="between">
      <formula>#REF!</formula>
      <formula>#REF!</formula>
    </cfRule>
    <cfRule type="cellIs" dxfId="2007" priority="2058" stopIfTrue="1" operator="greaterThanOrEqual">
      <formula>#REF!</formula>
    </cfRule>
  </conditionalFormatting>
  <conditionalFormatting sqref="W212:Y212">
    <cfRule type="cellIs" dxfId="2006" priority="2053" stopIfTrue="1" operator="lessThanOrEqual">
      <formula>$I$8</formula>
    </cfRule>
    <cfRule type="cellIs" dxfId="2005" priority="2054" stopIfTrue="1" operator="between">
      <formula>$I$8</formula>
      <formula>$J$8</formula>
    </cfRule>
    <cfRule type="cellIs" dxfId="2004" priority="2055" stopIfTrue="1" operator="greaterThanOrEqual">
      <formula>$J$8</formula>
    </cfRule>
  </conditionalFormatting>
  <conditionalFormatting sqref="W212:Y212">
    <cfRule type="cellIs" dxfId="2003" priority="2050" stopIfTrue="1" operator="lessThanOrEqual">
      <formula>#REF!</formula>
    </cfRule>
    <cfRule type="cellIs" dxfId="2002" priority="2051" stopIfTrue="1" operator="between">
      <formula>#REF!</formula>
      <formula>#REF!</formula>
    </cfRule>
    <cfRule type="cellIs" dxfId="2001" priority="2052" stopIfTrue="1" operator="greaterThanOrEqual">
      <formula>#REF!</formula>
    </cfRule>
  </conditionalFormatting>
  <conditionalFormatting sqref="Z212">
    <cfRule type="cellIs" dxfId="2000" priority="2047" stopIfTrue="1" operator="lessThanOrEqual">
      <formula>$I$8</formula>
    </cfRule>
    <cfRule type="cellIs" dxfId="1999" priority="2048" stopIfTrue="1" operator="between">
      <formula>$I$8</formula>
      <formula>$J$8</formula>
    </cfRule>
    <cfRule type="cellIs" dxfId="1998" priority="2049" stopIfTrue="1" operator="greaterThanOrEqual">
      <formula>$J$8</formula>
    </cfRule>
  </conditionalFormatting>
  <conditionalFormatting sqref="Z212">
    <cfRule type="cellIs" dxfId="1997" priority="2044" stopIfTrue="1" operator="lessThanOrEqual">
      <formula>#REF!</formula>
    </cfRule>
    <cfRule type="cellIs" dxfId="1996" priority="2045" stopIfTrue="1" operator="between">
      <formula>#REF!</formula>
      <formula>#REF!</formula>
    </cfRule>
    <cfRule type="cellIs" dxfId="1995" priority="2046" stopIfTrue="1" operator="greaterThanOrEqual">
      <formula>#REF!</formula>
    </cfRule>
  </conditionalFormatting>
  <conditionalFormatting sqref="V227:Y227">
    <cfRule type="cellIs" dxfId="1994" priority="2041" stopIfTrue="1" operator="lessThanOrEqual">
      <formula>$I$8</formula>
    </cfRule>
    <cfRule type="cellIs" dxfId="1993" priority="2042" stopIfTrue="1" operator="between">
      <formula>$I$8</formula>
      <formula>$J$8</formula>
    </cfRule>
    <cfRule type="cellIs" dxfId="1992" priority="2043" stopIfTrue="1" operator="greaterThanOrEqual">
      <formula>$J$8</formula>
    </cfRule>
  </conditionalFormatting>
  <conditionalFormatting sqref="V227:Y227">
    <cfRule type="cellIs" dxfId="1991" priority="2038" stopIfTrue="1" operator="lessThanOrEqual">
      <formula>#REF!</formula>
    </cfRule>
    <cfRule type="cellIs" dxfId="1990" priority="2039" stopIfTrue="1" operator="between">
      <formula>#REF!</formula>
      <formula>#REF!</formula>
    </cfRule>
    <cfRule type="cellIs" dxfId="1989" priority="2040" stopIfTrue="1" operator="greaterThanOrEqual">
      <formula>#REF!</formula>
    </cfRule>
  </conditionalFormatting>
  <conditionalFormatting sqref="Z227:AC227">
    <cfRule type="cellIs" dxfId="1988" priority="2035" stopIfTrue="1" operator="lessThanOrEqual">
      <formula>$I$8</formula>
    </cfRule>
    <cfRule type="cellIs" dxfId="1987" priority="2036" stopIfTrue="1" operator="between">
      <formula>$I$8</formula>
      <formula>$J$8</formula>
    </cfRule>
    <cfRule type="cellIs" dxfId="1986" priority="2037" stopIfTrue="1" operator="greaterThanOrEqual">
      <formula>$J$8</formula>
    </cfRule>
  </conditionalFormatting>
  <conditionalFormatting sqref="Z227:AC227">
    <cfRule type="cellIs" dxfId="1985" priority="2032" stopIfTrue="1" operator="lessThanOrEqual">
      <formula>#REF!</formula>
    </cfRule>
    <cfRule type="cellIs" dxfId="1984" priority="2033" stopIfTrue="1" operator="between">
      <formula>#REF!</formula>
      <formula>#REF!</formula>
    </cfRule>
    <cfRule type="cellIs" dxfId="1983" priority="2034" stopIfTrue="1" operator="greaterThanOrEqual">
      <formula>#REF!</formula>
    </cfRule>
  </conditionalFormatting>
  <conditionalFormatting sqref="V233:Y233">
    <cfRule type="cellIs" dxfId="1982" priority="2029" stopIfTrue="1" operator="lessThanOrEqual">
      <formula>$I$8</formula>
    </cfRule>
    <cfRule type="cellIs" dxfId="1981" priority="2030" stopIfTrue="1" operator="between">
      <formula>$I$8</formula>
      <formula>$J$8</formula>
    </cfRule>
    <cfRule type="cellIs" dxfId="1980" priority="2031" stopIfTrue="1" operator="greaterThanOrEqual">
      <formula>$J$8</formula>
    </cfRule>
  </conditionalFormatting>
  <conditionalFormatting sqref="V233:Y233">
    <cfRule type="cellIs" dxfId="1979" priority="2026" stopIfTrue="1" operator="lessThanOrEqual">
      <formula>#REF!</formula>
    </cfRule>
    <cfRule type="cellIs" dxfId="1978" priority="2027" stopIfTrue="1" operator="between">
      <formula>#REF!</formula>
      <formula>#REF!</formula>
    </cfRule>
    <cfRule type="cellIs" dxfId="1977" priority="2028" stopIfTrue="1" operator="greaterThanOrEqual">
      <formula>#REF!</formula>
    </cfRule>
  </conditionalFormatting>
  <conditionalFormatting sqref="Z233:AC233">
    <cfRule type="cellIs" dxfId="1976" priority="2023" stopIfTrue="1" operator="lessThanOrEqual">
      <formula>$I$8</formula>
    </cfRule>
    <cfRule type="cellIs" dxfId="1975" priority="2024" stopIfTrue="1" operator="between">
      <formula>$I$8</formula>
      <formula>$J$8</formula>
    </cfRule>
    <cfRule type="cellIs" dxfId="1974" priority="2025" stopIfTrue="1" operator="greaterThanOrEqual">
      <formula>$J$8</formula>
    </cfRule>
  </conditionalFormatting>
  <conditionalFormatting sqref="Z233:AC233">
    <cfRule type="cellIs" dxfId="1973" priority="2020" stopIfTrue="1" operator="lessThanOrEqual">
      <formula>#REF!</formula>
    </cfRule>
    <cfRule type="cellIs" dxfId="1972" priority="2021" stopIfTrue="1" operator="between">
      <formula>#REF!</formula>
      <formula>#REF!</formula>
    </cfRule>
    <cfRule type="cellIs" dxfId="1971" priority="2022" stopIfTrue="1" operator="greaterThanOrEqual">
      <formula>#REF!</formula>
    </cfRule>
  </conditionalFormatting>
  <conditionalFormatting sqref="W230:Y230">
    <cfRule type="cellIs" dxfId="1970" priority="2017" stopIfTrue="1" operator="lessThanOrEqual">
      <formula>$I$8</formula>
    </cfRule>
    <cfRule type="cellIs" dxfId="1969" priority="2018" stopIfTrue="1" operator="between">
      <formula>$I$8</formula>
      <formula>$J$8</formula>
    </cfRule>
    <cfRule type="cellIs" dxfId="1968" priority="2019" stopIfTrue="1" operator="greaterThanOrEqual">
      <formula>$J$8</formula>
    </cfRule>
  </conditionalFormatting>
  <conditionalFormatting sqref="W230:Y230">
    <cfRule type="cellIs" dxfId="1967" priority="2014" stopIfTrue="1" operator="lessThanOrEqual">
      <formula>#REF!</formula>
    </cfRule>
    <cfRule type="cellIs" dxfId="1966" priority="2015" stopIfTrue="1" operator="between">
      <formula>#REF!</formula>
      <formula>#REF!</formula>
    </cfRule>
    <cfRule type="cellIs" dxfId="1965" priority="2016" stopIfTrue="1" operator="greaterThanOrEqual">
      <formula>#REF!</formula>
    </cfRule>
  </conditionalFormatting>
  <conditionalFormatting sqref="AA230:AC230">
    <cfRule type="cellIs" dxfId="1964" priority="2011" stopIfTrue="1" operator="lessThanOrEqual">
      <formula>$I$8</formula>
    </cfRule>
    <cfRule type="cellIs" dxfId="1963" priority="2012" stopIfTrue="1" operator="between">
      <formula>$I$8</formula>
      <formula>$J$8</formula>
    </cfRule>
    <cfRule type="cellIs" dxfId="1962" priority="2013" stopIfTrue="1" operator="greaterThanOrEqual">
      <formula>$J$8</formula>
    </cfRule>
  </conditionalFormatting>
  <conditionalFormatting sqref="AA230:AC230">
    <cfRule type="cellIs" dxfId="1961" priority="2008" stopIfTrue="1" operator="lessThanOrEqual">
      <formula>#REF!</formula>
    </cfRule>
    <cfRule type="cellIs" dxfId="1960" priority="2009" stopIfTrue="1" operator="between">
      <formula>#REF!</formula>
      <formula>#REF!</formula>
    </cfRule>
    <cfRule type="cellIs" dxfId="1959" priority="2010" stopIfTrue="1" operator="greaterThanOrEqual">
      <formula>#REF!</formula>
    </cfRule>
  </conditionalFormatting>
  <conditionalFormatting sqref="V270:AC270">
    <cfRule type="cellIs" dxfId="1958" priority="1981" stopIfTrue="1" operator="lessThanOrEqual">
      <formula>$I$8</formula>
    </cfRule>
    <cfRule type="cellIs" dxfId="1957" priority="1982" stopIfTrue="1" operator="between">
      <formula>$I$8</formula>
      <formula>$J$8</formula>
    </cfRule>
    <cfRule type="cellIs" dxfId="1956" priority="1983" stopIfTrue="1" operator="greaterThanOrEqual">
      <formula>$J$8</formula>
    </cfRule>
  </conditionalFormatting>
  <conditionalFormatting sqref="V276:Y276">
    <cfRule type="cellIs" dxfId="1955" priority="2005" stopIfTrue="1" operator="lessThanOrEqual">
      <formula>$I$8</formula>
    </cfRule>
    <cfRule type="cellIs" dxfId="1954" priority="2006" stopIfTrue="1" operator="between">
      <formula>$I$8</formula>
      <formula>$J$8</formula>
    </cfRule>
    <cfRule type="cellIs" dxfId="1953" priority="2007" stopIfTrue="1" operator="greaterThanOrEqual">
      <formula>$J$8</formula>
    </cfRule>
  </conditionalFormatting>
  <conditionalFormatting sqref="V276:Y276">
    <cfRule type="cellIs" dxfId="1952" priority="2002" stopIfTrue="1" operator="lessThanOrEqual">
      <formula>#REF!</formula>
    </cfRule>
    <cfRule type="cellIs" dxfId="1951" priority="2003" stopIfTrue="1" operator="between">
      <formula>#REF!</formula>
      <formula>#REF!</formula>
    </cfRule>
    <cfRule type="cellIs" dxfId="1950" priority="2004" stopIfTrue="1" operator="greaterThanOrEqual">
      <formula>#REF!</formula>
    </cfRule>
  </conditionalFormatting>
  <conditionalFormatting sqref="AC273">
    <cfRule type="cellIs" dxfId="1949" priority="1999" stopIfTrue="1" operator="lessThanOrEqual">
      <formula>$I$8</formula>
    </cfRule>
    <cfRule type="cellIs" dxfId="1948" priority="2000" stopIfTrue="1" operator="between">
      <formula>$I$8</formula>
      <formula>$J$8</formula>
    </cfRule>
    <cfRule type="cellIs" dxfId="1947" priority="2001" stopIfTrue="1" operator="greaterThanOrEqual">
      <formula>$J$8</formula>
    </cfRule>
  </conditionalFormatting>
  <conditionalFormatting sqref="AC273">
    <cfRule type="cellIs" dxfId="1946" priority="1996" stopIfTrue="1" operator="lessThanOrEqual">
      <formula>#REF!</formula>
    </cfRule>
    <cfRule type="cellIs" dxfId="1945" priority="1997" stopIfTrue="1" operator="between">
      <formula>#REF!</formula>
      <formula>#REF!</formula>
    </cfRule>
    <cfRule type="cellIs" dxfId="1944" priority="1998" stopIfTrue="1" operator="greaterThanOrEqual">
      <formula>#REF!</formula>
    </cfRule>
  </conditionalFormatting>
  <conditionalFormatting sqref="AC279">
    <cfRule type="cellIs" dxfId="1943" priority="1987" stopIfTrue="1" operator="lessThanOrEqual">
      <formula>$I$8</formula>
    </cfRule>
    <cfRule type="cellIs" dxfId="1942" priority="1988" stopIfTrue="1" operator="between">
      <formula>$I$8</formula>
      <formula>$J$8</formula>
    </cfRule>
    <cfRule type="cellIs" dxfId="1941" priority="1989" stopIfTrue="1" operator="greaterThanOrEqual">
      <formula>$J$8</formula>
    </cfRule>
  </conditionalFormatting>
  <conditionalFormatting sqref="AC279">
    <cfRule type="cellIs" dxfId="1940" priority="1984" stopIfTrue="1" operator="lessThanOrEqual">
      <formula>#REF!</formula>
    </cfRule>
    <cfRule type="cellIs" dxfId="1939" priority="1985" stopIfTrue="1" operator="between">
      <formula>#REF!</formula>
      <formula>#REF!</formula>
    </cfRule>
    <cfRule type="cellIs" dxfId="1938" priority="1986" stopIfTrue="1" operator="greaterThanOrEqual">
      <formula>#REF!</formula>
    </cfRule>
  </conditionalFormatting>
  <conditionalFormatting sqref="Z276:AC276">
    <cfRule type="cellIs" dxfId="1937" priority="1993" stopIfTrue="1" operator="lessThanOrEqual">
      <formula>$I$8</formula>
    </cfRule>
    <cfRule type="cellIs" dxfId="1936" priority="1994" stopIfTrue="1" operator="between">
      <formula>$I$8</formula>
      <formula>$J$8</formula>
    </cfRule>
    <cfRule type="cellIs" dxfId="1935" priority="1995" stopIfTrue="1" operator="greaterThanOrEqual">
      <formula>$J$8</formula>
    </cfRule>
  </conditionalFormatting>
  <conditionalFormatting sqref="Y273">
    <cfRule type="cellIs" dxfId="1934" priority="1975" stopIfTrue="1" operator="lessThanOrEqual">
      <formula>$I$8</formula>
    </cfRule>
    <cfRule type="cellIs" dxfId="1933" priority="1976" stopIfTrue="1" operator="between">
      <formula>$I$8</formula>
      <formula>$J$8</formula>
    </cfRule>
    <cfRule type="cellIs" dxfId="1932" priority="1977" stopIfTrue="1" operator="greaterThanOrEqual">
      <formula>$J$8</formula>
    </cfRule>
  </conditionalFormatting>
  <conditionalFormatting sqref="Y273">
    <cfRule type="cellIs" dxfId="1931" priority="1972" stopIfTrue="1" operator="lessThanOrEqual">
      <formula>#REF!</formula>
    </cfRule>
    <cfRule type="cellIs" dxfId="1930" priority="1973" stopIfTrue="1" operator="between">
      <formula>#REF!</formula>
      <formula>#REF!</formula>
    </cfRule>
    <cfRule type="cellIs" dxfId="1929" priority="1974" stopIfTrue="1" operator="greaterThanOrEqual">
      <formula>#REF!</formula>
    </cfRule>
  </conditionalFormatting>
  <conditionalFormatting sqref="Z276:AC276">
    <cfRule type="cellIs" dxfId="1928" priority="1990" stopIfTrue="1" operator="lessThanOrEqual">
      <formula>#REF!</formula>
    </cfRule>
    <cfRule type="cellIs" dxfId="1927" priority="1991" stopIfTrue="1" operator="between">
      <formula>#REF!</formula>
      <formula>#REF!</formula>
    </cfRule>
    <cfRule type="cellIs" dxfId="1926" priority="1992" stopIfTrue="1" operator="greaterThanOrEqual">
      <formula>#REF!</formula>
    </cfRule>
  </conditionalFormatting>
  <conditionalFormatting sqref="V270:AC270">
    <cfRule type="cellIs" dxfId="1925" priority="1978" stopIfTrue="1" operator="lessThanOrEqual">
      <formula>#REF!</formula>
    </cfRule>
    <cfRule type="cellIs" dxfId="1924" priority="1979" stopIfTrue="1" operator="between">
      <formula>#REF!</formula>
      <formula>#REF!</formula>
    </cfRule>
    <cfRule type="cellIs" dxfId="1923" priority="1980" stopIfTrue="1" operator="greaterThanOrEqual">
      <formula>#REF!</formula>
    </cfRule>
  </conditionalFormatting>
  <conditionalFormatting sqref="V273:X273">
    <cfRule type="cellIs" dxfId="1922" priority="1969" stopIfTrue="1" operator="lessThanOrEqual">
      <formula>$I$8</formula>
    </cfRule>
    <cfRule type="cellIs" dxfId="1921" priority="1970" stopIfTrue="1" operator="between">
      <formula>$I$8</formula>
      <formula>$J$8</formula>
    </cfRule>
    <cfRule type="cellIs" dxfId="1920" priority="1971" stopIfTrue="1" operator="greaterThanOrEqual">
      <formula>$J$8</formula>
    </cfRule>
  </conditionalFormatting>
  <conditionalFormatting sqref="V273:X273">
    <cfRule type="cellIs" dxfId="1919" priority="1966" stopIfTrue="1" operator="lessThanOrEqual">
      <formula>#REF!</formula>
    </cfRule>
    <cfRule type="cellIs" dxfId="1918" priority="1967" stopIfTrue="1" operator="between">
      <formula>#REF!</formula>
      <formula>#REF!</formula>
    </cfRule>
    <cfRule type="cellIs" dxfId="1917" priority="1968" stopIfTrue="1" operator="greaterThanOrEqual">
      <formula>#REF!</formula>
    </cfRule>
  </conditionalFormatting>
  <conditionalFormatting sqref="Z273:AB273">
    <cfRule type="cellIs" dxfId="1916" priority="1963" stopIfTrue="1" operator="lessThanOrEqual">
      <formula>$I$8</formula>
    </cfRule>
    <cfRule type="cellIs" dxfId="1915" priority="1964" stopIfTrue="1" operator="between">
      <formula>$I$8</formula>
      <formula>$J$8</formula>
    </cfRule>
    <cfRule type="cellIs" dxfId="1914" priority="1965" stopIfTrue="1" operator="greaterThanOrEqual">
      <formula>$J$8</formula>
    </cfRule>
  </conditionalFormatting>
  <conditionalFormatting sqref="Z273:AB273">
    <cfRule type="cellIs" dxfId="1913" priority="1960" stopIfTrue="1" operator="lessThanOrEqual">
      <formula>#REF!</formula>
    </cfRule>
    <cfRule type="cellIs" dxfId="1912" priority="1961" stopIfTrue="1" operator="between">
      <formula>#REF!</formula>
      <formula>#REF!</formula>
    </cfRule>
    <cfRule type="cellIs" dxfId="1911" priority="1962" stopIfTrue="1" operator="greaterThanOrEqual">
      <formula>#REF!</formula>
    </cfRule>
  </conditionalFormatting>
  <conditionalFormatting sqref="Y279">
    <cfRule type="cellIs" dxfId="1910" priority="1957" stopIfTrue="1" operator="lessThanOrEqual">
      <formula>$I$8</formula>
    </cfRule>
    <cfRule type="cellIs" dxfId="1909" priority="1958" stopIfTrue="1" operator="between">
      <formula>$I$8</formula>
      <formula>$J$8</formula>
    </cfRule>
    <cfRule type="cellIs" dxfId="1908" priority="1959" stopIfTrue="1" operator="greaterThanOrEqual">
      <formula>$J$8</formula>
    </cfRule>
  </conditionalFormatting>
  <conditionalFormatting sqref="Y279">
    <cfRule type="cellIs" dxfId="1907" priority="1954" stopIfTrue="1" operator="lessThanOrEqual">
      <formula>#REF!</formula>
    </cfRule>
    <cfRule type="cellIs" dxfId="1906" priority="1955" stopIfTrue="1" operator="between">
      <formula>#REF!</formula>
      <formula>#REF!</formula>
    </cfRule>
    <cfRule type="cellIs" dxfId="1905" priority="1956" stopIfTrue="1" operator="greaterThanOrEqual">
      <formula>#REF!</formula>
    </cfRule>
  </conditionalFormatting>
  <conditionalFormatting sqref="V251:AC251">
    <cfRule type="cellIs" dxfId="1904" priority="1951" stopIfTrue="1" operator="lessThanOrEqual">
      <formula>$I$8</formula>
    </cfRule>
    <cfRule type="cellIs" dxfId="1903" priority="1952" stopIfTrue="1" operator="between">
      <formula>$I$8</formula>
      <formula>$J$8</formula>
    </cfRule>
    <cfRule type="cellIs" dxfId="1902" priority="1953" stopIfTrue="1" operator="greaterThanOrEqual">
      <formula>$J$8</formula>
    </cfRule>
  </conditionalFormatting>
  <conditionalFormatting sqref="V251:AC251">
    <cfRule type="cellIs" dxfId="1901" priority="1948" stopIfTrue="1" operator="lessThanOrEqual">
      <formula>#REF!</formula>
    </cfRule>
    <cfRule type="cellIs" dxfId="1900" priority="1949" stopIfTrue="1" operator="between">
      <formula>#REF!</formula>
      <formula>#REF!</formula>
    </cfRule>
    <cfRule type="cellIs" dxfId="1899" priority="1950" stopIfTrue="1" operator="greaterThanOrEqual">
      <formula>#REF!</formula>
    </cfRule>
  </conditionalFormatting>
  <conditionalFormatting sqref="Z414:AB414">
    <cfRule type="cellIs" dxfId="1898" priority="1945" stopIfTrue="1" operator="lessThanOrEqual">
      <formula>$I$8</formula>
    </cfRule>
    <cfRule type="cellIs" dxfId="1897" priority="1946" stopIfTrue="1" operator="between">
      <formula>$I$8</formula>
      <formula>$J$8</formula>
    </cfRule>
    <cfRule type="cellIs" dxfId="1896" priority="1947" stopIfTrue="1" operator="greaterThanOrEqual">
      <formula>$J$8</formula>
    </cfRule>
  </conditionalFormatting>
  <conditionalFormatting sqref="Z414:AB414">
    <cfRule type="cellIs" dxfId="1895" priority="1942" stopIfTrue="1" operator="lessThanOrEqual">
      <formula>#REF!</formula>
    </cfRule>
    <cfRule type="cellIs" dxfId="1894" priority="1943" stopIfTrue="1" operator="between">
      <formula>#REF!</formula>
      <formula>#REF!</formula>
    </cfRule>
    <cfRule type="cellIs" dxfId="1893" priority="1944" stopIfTrue="1" operator="greaterThanOrEqual">
      <formula>#REF!</formula>
    </cfRule>
  </conditionalFormatting>
  <conditionalFormatting sqref="W414:X414">
    <cfRule type="cellIs" dxfId="1892" priority="1939" stopIfTrue="1" operator="lessThanOrEqual">
      <formula>$I$8</formula>
    </cfRule>
    <cfRule type="cellIs" dxfId="1891" priority="1940" stopIfTrue="1" operator="between">
      <formula>$I$8</formula>
      <formula>$J$8</formula>
    </cfRule>
    <cfRule type="cellIs" dxfId="1890" priority="1941" stopIfTrue="1" operator="greaterThanOrEqual">
      <formula>$J$8</formula>
    </cfRule>
  </conditionalFormatting>
  <conditionalFormatting sqref="W414:X414">
    <cfRule type="cellIs" dxfId="1889" priority="1936" stopIfTrue="1" operator="lessThanOrEqual">
      <formula>#REF!</formula>
    </cfRule>
    <cfRule type="cellIs" dxfId="1888" priority="1937" stopIfTrue="1" operator="between">
      <formula>#REF!</formula>
      <formula>#REF!</formula>
    </cfRule>
    <cfRule type="cellIs" dxfId="1887" priority="1938" stopIfTrue="1" operator="greaterThanOrEqual">
      <formula>#REF!</formula>
    </cfRule>
  </conditionalFormatting>
  <conditionalFormatting sqref="V423">
    <cfRule type="cellIs" dxfId="1886" priority="1885" stopIfTrue="1" operator="lessThanOrEqual">
      <formula>$I$8</formula>
    </cfRule>
    <cfRule type="cellIs" dxfId="1885" priority="1886" stopIfTrue="1" operator="between">
      <formula>$I$8</formula>
      <formula>$J$8</formula>
    </cfRule>
    <cfRule type="cellIs" dxfId="1884" priority="1887" stopIfTrue="1" operator="greaterThanOrEqual">
      <formula>$J$8</formula>
    </cfRule>
  </conditionalFormatting>
  <conditionalFormatting sqref="V423">
    <cfRule type="cellIs" dxfId="1883" priority="1882" stopIfTrue="1" operator="lessThanOrEqual">
      <formula>#REF!</formula>
    </cfRule>
    <cfRule type="cellIs" dxfId="1882" priority="1883" stopIfTrue="1" operator="between">
      <formula>#REF!</formula>
      <formula>#REF!</formula>
    </cfRule>
    <cfRule type="cellIs" dxfId="1881" priority="1884" stopIfTrue="1" operator="greaterThanOrEqual">
      <formula>#REF!</formula>
    </cfRule>
  </conditionalFormatting>
  <conditionalFormatting sqref="V414">
    <cfRule type="cellIs" dxfId="1880" priority="1930" stopIfTrue="1" operator="lessThanOrEqual">
      <formula>#REF!</formula>
    </cfRule>
    <cfRule type="cellIs" dxfId="1879" priority="1931" stopIfTrue="1" operator="between">
      <formula>#REF!</formula>
      <formula>#REF!</formula>
    </cfRule>
    <cfRule type="cellIs" dxfId="1878" priority="1932" stopIfTrue="1" operator="greaterThanOrEqual">
      <formula>#REF!</formula>
    </cfRule>
  </conditionalFormatting>
  <conditionalFormatting sqref="Z417:AB417">
    <cfRule type="cellIs" dxfId="1877" priority="1924" stopIfTrue="1" operator="lessThanOrEqual">
      <formula>#REF!</formula>
    </cfRule>
    <cfRule type="cellIs" dxfId="1876" priority="1925" stopIfTrue="1" operator="between">
      <formula>#REF!</formula>
      <formula>#REF!</formula>
    </cfRule>
    <cfRule type="cellIs" dxfId="1875" priority="1926" stopIfTrue="1" operator="greaterThanOrEqual">
      <formula>#REF!</formula>
    </cfRule>
  </conditionalFormatting>
  <conditionalFormatting sqref="W417:X417">
    <cfRule type="cellIs" dxfId="1874" priority="1918" stopIfTrue="1" operator="lessThanOrEqual">
      <formula>#REF!</formula>
    </cfRule>
    <cfRule type="cellIs" dxfId="1873" priority="1919" stopIfTrue="1" operator="between">
      <formula>#REF!</formula>
      <formula>#REF!</formula>
    </cfRule>
    <cfRule type="cellIs" dxfId="1872" priority="1920" stopIfTrue="1" operator="greaterThanOrEqual">
      <formula>#REF!</formula>
    </cfRule>
  </conditionalFormatting>
  <conditionalFormatting sqref="V417">
    <cfRule type="cellIs" dxfId="1871" priority="1912" stopIfTrue="1" operator="lessThanOrEqual">
      <formula>#REF!</formula>
    </cfRule>
    <cfRule type="cellIs" dxfId="1870" priority="1913" stopIfTrue="1" operator="between">
      <formula>#REF!</formula>
      <formula>#REF!</formula>
    </cfRule>
    <cfRule type="cellIs" dxfId="1869" priority="1914" stopIfTrue="1" operator="greaterThanOrEqual">
      <formula>#REF!</formula>
    </cfRule>
  </conditionalFormatting>
  <conditionalFormatting sqref="Z420:AB420">
    <cfRule type="cellIs" dxfId="1868" priority="1906" stopIfTrue="1" operator="lessThanOrEqual">
      <formula>#REF!</formula>
    </cfRule>
    <cfRule type="cellIs" dxfId="1867" priority="1907" stopIfTrue="1" operator="between">
      <formula>#REF!</formula>
      <formula>#REF!</formula>
    </cfRule>
    <cfRule type="cellIs" dxfId="1866" priority="1908" stopIfTrue="1" operator="greaterThanOrEqual">
      <formula>#REF!</formula>
    </cfRule>
  </conditionalFormatting>
  <conditionalFormatting sqref="W420:X420">
    <cfRule type="cellIs" dxfId="1865" priority="1900" stopIfTrue="1" operator="lessThanOrEqual">
      <formula>#REF!</formula>
    </cfRule>
    <cfRule type="cellIs" dxfId="1864" priority="1901" stopIfTrue="1" operator="between">
      <formula>#REF!</formula>
      <formula>#REF!</formula>
    </cfRule>
    <cfRule type="cellIs" dxfId="1863" priority="1902" stopIfTrue="1" operator="greaterThanOrEqual">
      <formula>#REF!</formula>
    </cfRule>
  </conditionalFormatting>
  <conditionalFormatting sqref="Z423:AB423">
    <cfRule type="cellIs" dxfId="1862" priority="1894" stopIfTrue="1" operator="lessThanOrEqual">
      <formula>#REF!</formula>
    </cfRule>
    <cfRule type="cellIs" dxfId="1861" priority="1895" stopIfTrue="1" operator="between">
      <formula>#REF!</formula>
      <formula>#REF!</formula>
    </cfRule>
    <cfRule type="cellIs" dxfId="1860" priority="1896" stopIfTrue="1" operator="greaterThanOrEqual">
      <formula>#REF!</formula>
    </cfRule>
  </conditionalFormatting>
  <conditionalFormatting sqref="W423:X423">
    <cfRule type="cellIs" dxfId="1859" priority="1891" stopIfTrue="1" operator="lessThanOrEqual">
      <formula>$I$8</formula>
    </cfRule>
    <cfRule type="cellIs" dxfId="1858" priority="1892" stopIfTrue="1" operator="between">
      <formula>$I$8</formula>
      <formula>$J$8</formula>
    </cfRule>
    <cfRule type="cellIs" dxfId="1857" priority="1893" stopIfTrue="1" operator="greaterThanOrEqual">
      <formula>$J$8</formula>
    </cfRule>
  </conditionalFormatting>
  <conditionalFormatting sqref="W423:X423">
    <cfRule type="cellIs" dxfId="1856" priority="1888" stopIfTrue="1" operator="lessThanOrEqual">
      <formula>#REF!</formula>
    </cfRule>
    <cfRule type="cellIs" dxfId="1855" priority="1889" stopIfTrue="1" operator="between">
      <formula>#REF!</formula>
      <formula>#REF!</formula>
    </cfRule>
    <cfRule type="cellIs" dxfId="1854" priority="1890" stopIfTrue="1" operator="greaterThanOrEqual">
      <formula>#REF!</formula>
    </cfRule>
  </conditionalFormatting>
  <conditionalFormatting sqref="W426:X426">
    <cfRule type="cellIs" dxfId="1853" priority="1879" stopIfTrue="1" operator="lessThanOrEqual">
      <formula>$I$8</formula>
    </cfRule>
    <cfRule type="cellIs" dxfId="1852" priority="1880" stopIfTrue="1" operator="between">
      <formula>$I$8</formula>
      <formula>$J$8</formula>
    </cfRule>
    <cfRule type="cellIs" dxfId="1851" priority="1881" stopIfTrue="1" operator="greaterThanOrEqual">
      <formula>$J$8</formula>
    </cfRule>
  </conditionalFormatting>
  <conditionalFormatting sqref="W426:X426">
    <cfRule type="cellIs" dxfId="1850" priority="1876" stopIfTrue="1" operator="lessThanOrEqual">
      <formula>#REF!</formula>
    </cfRule>
    <cfRule type="cellIs" dxfId="1849" priority="1877" stopIfTrue="1" operator="between">
      <formula>#REF!</formula>
      <formula>#REF!</formula>
    </cfRule>
    <cfRule type="cellIs" dxfId="1848" priority="1878" stopIfTrue="1" operator="greaterThanOrEqual">
      <formula>#REF!</formula>
    </cfRule>
  </conditionalFormatting>
  <conditionalFormatting sqref="V426">
    <cfRule type="cellIs" dxfId="1847" priority="1873" stopIfTrue="1" operator="lessThanOrEqual">
      <formula>$I$8</formula>
    </cfRule>
    <cfRule type="cellIs" dxfId="1846" priority="1874" stopIfTrue="1" operator="between">
      <formula>$I$8</formula>
      <formula>$J$8</formula>
    </cfRule>
    <cfRule type="cellIs" dxfId="1845" priority="1875" stopIfTrue="1" operator="greaterThanOrEqual">
      <formula>$J$8</formula>
    </cfRule>
  </conditionalFormatting>
  <conditionalFormatting sqref="V426">
    <cfRule type="cellIs" dxfId="1844" priority="1870" stopIfTrue="1" operator="lessThanOrEqual">
      <formula>#REF!</formula>
    </cfRule>
    <cfRule type="cellIs" dxfId="1843" priority="1871" stopIfTrue="1" operator="between">
      <formula>#REF!</formula>
      <formula>#REF!</formula>
    </cfRule>
    <cfRule type="cellIs" dxfId="1842" priority="1872" stopIfTrue="1" operator="greaterThanOrEqual">
      <formula>#REF!</formula>
    </cfRule>
  </conditionalFormatting>
  <conditionalFormatting sqref="Y414">
    <cfRule type="cellIs" dxfId="1841" priority="1864" stopIfTrue="1" operator="lessThanOrEqual">
      <formula>#REF!</formula>
    </cfRule>
    <cfRule type="cellIs" dxfId="1840" priority="1865" stopIfTrue="1" operator="between">
      <formula>#REF!</formula>
      <formula>#REF!</formula>
    </cfRule>
    <cfRule type="cellIs" dxfId="1839" priority="1866" stopIfTrue="1" operator="greaterThanOrEqual">
      <formula>#REF!</formula>
    </cfRule>
  </conditionalFormatting>
  <conditionalFormatting sqref="Y417">
    <cfRule type="cellIs" dxfId="1838" priority="1858" stopIfTrue="1" operator="lessThanOrEqual">
      <formula>#REF!</formula>
    </cfRule>
    <cfRule type="cellIs" dxfId="1837" priority="1859" stopIfTrue="1" operator="between">
      <formula>#REF!</formula>
      <formula>#REF!</formula>
    </cfRule>
    <cfRule type="cellIs" dxfId="1836" priority="1860" stopIfTrue="1" operator="greaterThanOrEqual">
      <formula>#REF!</formula>
    </cfRule>
  </conditionalFormatting>
  <conditionalFormatting sqref="Y420">
    <cfRule type="cellIs" dxfId="1835" priority="1852" stopIfTrue="1" operator="lessThanOrEqual">
      <formula>#REF!</formula>
    </cfRule>
    <cfRule type="cellIs" dxfId="1834" priority="1853" stopIfTrue="1" operator="between">
      <formula>#REF!</formula>
      <formula>#REF!</formula>
    </cfRule>
    <cfRule type="cellIs" dxfId="1833" priority="1854" stopIfTrue="1" operator="greaterThanOrEqual">
      <formula>#REF!</formula>
    </cfRule>
  </conditionalFormatting>
  <conditionalFormatting sqref="Y426">
    <cfRule type="cellIs" dxfId="1832" priority="1846" stopIfTrue="1" operator="lessThanOrEqual">
      <formula>#REF!</formula>
    </cfRule>
    <cfRule type="cellIs" dxfId="1831" priority="1847" stopIfTrue="1" operator="between">
      <formula>#REF!</formula>
      <formula>#REF!</formula>
    </cfRule>
    <cfRule type="cellIs" dxfId="1830" priority="1848" stopIfTrue="1" operator="greaterThanOrEqual">
      <formula>#REF!</formula>
    </cfRule>
  </conditionalFormatting>
  <conditionalFormatting sqref="AC414">
    <cfRule type="cellIs" dxfId="1829" priority="1840" stopIfTrue="1" operator="lessThanOrEqual">
      <formula>#REF!</formula>
    </cfRule>
    <cfRule type="cellIs" dxfId="1828" priority="1841" stopIfTrue="1" operator="between">
      <formula>#REF!</formula>
      <formula>#REF!</formula>
    </cfRule>
    <cfRule type="cellIs" dxfId="1827" priority="1842" stopIfTrue="1" operator="greaterThanOrEqual">
      <formula>#REF!</formula>
    </cfRule>
  </conditionalFormatting>
  <conditionalFormatting sqref="AC417">
    <cfRule type="cellIs" dxfId="1826" priority="1834" stopIfTrue="1" operator="lessThanOrEqual">
      <formula>#REF!</formula>
    </cfRule>
    <cfRule type="cellIs" dxfId="1825" priority="1835" stopIfTrue="1" operator="between">
      <formula>#REF!</formula>
      <formula>#REF!</formula>
    </cfRule>
    <cfRule type="cellIs" dxfId="1824" priority="1836" stopIfTrue="1" operator="greaterThanOrEqual">
      <formula>#REF!</formula>
    </cfRule>
  </conditionalFormatting>
  <conditionalFormatting sqref="AC420">
    <cfRule type="cellIs" dxfId="1823" priority="1828" stopIfTrue="1" operator="lessThanOrEqual">
      <formula>#REF!</formula>
    </cfRule>
    <cfRule type="cellIs" dxfId="1822" priority="1829" stopIfTrue="1" operator="between">
      <formula>#REF!</formula>
      <formula>#REF!</formula>
    </cfRule>
    <cfRule type="cellIs" dxfId="1821" priority="1830" stopIfTrue="1" operator="greaterThanOrEqual">
      <formula>#REF!</formula>
    </cfRule>
  </conditionalFormatting>
  <conditionalFormatting sqref="AA429">
    <cfRule type="cellIs" dxfId="1820" priority="1825" stopIfTrue="1" operator="lessThanOrEqual">
      <formula>$I$8</formula>
    </cfRule>
    <cfRule type="cellIs" dxfId="1819" priority="1826" stopIfTrue="1" operator="between">
      <formula>$I$8</formula>
      <formula>$J$8</formula>
    </cfRule>
    <cfRule type="cellIs" dxfId="1818" priority="1827" stopIfTrue="1" operator="greaterThanOrEqual">
      <formula>$J$8</formula>
    </cfRule>
  </conditionalFormatting>
  <conditionalFormatting sqref="AA429">
    <cfRule type="cellIs" dxfId="1817" priority="1822" stopIfTrue="1" operator="lessThanOrEqual">
      <formula>#REF!</formula>
    </cfRule>
    <cfRule type="cellIs" dxfId="1816" priority="1823" stopIfTrue="1" operator="between">
      <formula>#REF!</formula>
      <formula>#REF!</formula>
    </cfRule>
    <cfRule type="cellIs" dxfId="1815" priority="1824" stopIfTrue="1" operator="greaterThanOrEqual">
      <formula>#REF!</formula>
    </cfRule>
  </conditionalFormatting>
  <conditionalFormatting sqref="W429">
    <cfRule type="cellIs" dxfId="1814" priority="1819" stopIfTrue="1" operator="lessThanOrEqual">
      <formula>$I$8</formula>
    </cfRule>
    <cfRule type="cellIs" dxfId="1813" priority="1820" stopIfTrue="1" operator="between">
      <formula>$I$8</formula>
      <formula>$J$8</formula>
    </cfRule>
    <cfRule type="cellIs" dxfId="1812" priority="1821" stopIfTrue="1" operator="greaterThanOrEqual">
      <formula>$J$8</formula>
    </cfRule>
  </conditionalFormatting>
  <conditionalFormatting sqref="W429">
    <cfRule type="cellIs" dxfId="1811" priority="1816" stopIfTrue="1" operator="lessThanOrEqual">
      <formula>#REF!</formula>
    </cfRule>
    <cfRule type="cellIs" dxfId="1810" priority="1817" stopIfTrue="1" operator="between">
      <formula>#REF!</formula>
      <formula>#REF!</formula>
    </cfRule>
    <cfRule type="cellIs" dxfId="1809" priority="1818" stopIfTrue="1" operator="greaterThanOrEqual">
      <formula>#REF!</formula>
    </cfRule>
  </conditionalFormatting>
  <conditionalFormatting sqref="W432:Y432 W435:Y435 W438 Y438 AA432:AC432 AA435:AC435 AA438 AC438">
    <cfRule type="cellIs" dxfId="1808" priority="1813" stopIfTrue="1" operator="lessThanOrEqual">
      <formula>#REF!</formula>
    </cfRule>
    <cfRule type="cellIs" dxfId="1807" priority="1814" stopIfTrue="1" operator="between">
      <formula>#REF!</formula>
      <formula>#REF!</formula>
    </cfRule>
    <cfRule type="cellIs" dxfId="1806" priority="1815" stopIfTrue="1" operator="greaterThanOrEqual">
      <formula>#REF!</formula>
    </cfRule>
  </conditionalFormatting>
  <conditionalFormatting sqref="X438">
    <cfRule type="cellIs" dxfId="1805" priority="1810" stopIfTrue="1" operator="lessThanOrEqual">
      <formula>$I$8</formula>
    </cfRule>
    <cfRule type="cellIs" dxfId="1804" priority="1811" stopIfTrue="1" operator="between">
      <formula>$I$8</formula>
      <formula>$J$8</formula>
    </cfRule>
    <cfRule type="cellIs" dxfId="1803" priority="1812" stopIfTrue="1" operator="greaterThanOrEqual">
      <formula>$J$8</formula>
    </cfRule>
  </conditionalFormatting>
  <conditionalFormatting sqref="X438">
    <cfRule type="cellIs" dxfId="1802" priority="1807" stopIfTrue="1" operator="lessThanOrEqual">
      <formula>#REF!</formula>
    </cfRule>
    <cfRule type="cellIs" dxfId="1801" priority="1808" stopIfTrue="1" operator="between">
      <formula>#REF!</formula>
      <formula>#REF!</formula>
    </cfRule>
    <cfRule type="cellIs" dxfId="1800" priority="1809" stopIfTrue="1" operator="greaterThanOrEqual">
      <formula>#REF!</formula>
    </cfRule>
  </conditionalFormatting>
  <conditionalFormatting sqref="AB438">
    <cfRule type="cellIs" dxfId="1799" priority="1804" stopIfTrue="1" operator="lessThanOrEqual">
      <formula>$I$8</formula>
    </cfRule>
    <cfRule type="cellIs" dxfId="1798" priority="1805" stopIfTrue="1" operator="between">
      <formula>$I$8</formula>
      <formula>$J$8</formula>
    </cfRule>
    <cfRule type="cellIs" dxfId="1797" priority="1806" stopIfTrue="1" operator="greaterThanOrEqual">
      <formula>$J$8</formula>
    </cfRule>
  </conditionalFormatting>
  <conditionalFormatting sqref="AB438">
    <cfRule type="cellIs" dxfId="1796" priority="1801" stopIfTrue="1" operator="lessThanOrEqual">
      <formula>#REF!</formula>
    </cfRule>
    <cfRule type="cellIs" dxfId="1795" priority="1802" stopIfTrue="1" operator="between">
      <formula>#REF!</formula>
      <formula>#REF!</formula>
    </cfRule>
    <cfRule type="cellIs" dxfId="1794" priority="1803" stopIfTrue="1" operator="greaterThanOrEqual">
      <formula>#REF!</formula>
    </cfRule>
  </conditionalFormatting>
  <conditionalFormatting sqref="Z411:AB411">
    <cfRule type="cellIs" dxfId="1793" priority="1798" stopIfTrue="1" operator="lessThanOrEqual">
      <formula>$I$8</formula>
    </cfRule>
    <cfRule type="cellIs" dxfId="1792" priority="1799" stopIfTrue="1" operator="between">
      <formula>$I$8</formula>
      <formula>$J$8</formula>
    </cfRule>
    <cfRule type="cellIs" dxfId="1791" priority="1800" stopIfTrue="1" operator="greaterThanOrEqual">
      <formula>$J$8</formula>
    </cfRule>
  </conditionalFormatting>
  <conditionalFormatting sqref="Z411:AB411">
    <cfRule type="cellIs" dxfId="1790" priority="1795" stopIfTrue="1" operator="lessThanOrEqual">
      <formula>#REF!</formula>
    </cfRule>
    <cfRule type="cellIs" dxfId="1789" priority="1796" stopIfTrue="1" operator="between">
      <formula>#REF!</formula>
      <formula>#REF!</formula>
    </cfRule>
    <cfRule type="cellIs" dxfId="1788" priority="1797" stopIfTrue="1" operator="greaterThanOrEqual">
      <formula>#REF!</formula>
    </cfRule>
  </conditionalFormatting>
  <conditionalFormatting sqref="W411:X411">
    <cfRule type="cellIs" dxfId="1787" priority="1792" stopIfTrue="1" operator="lessThanOrEqual">
      <formula>$I$8</formula>
    </cfRule>
    <cfRule type="cellIs" dxfId="1786" priority="1793" stopIfTrue="1" operator="between">
      <formula>$I$8</formula>
      <formula>$J$8</formula>
    </cfRule>
    <cfRule type="cellIs" dxfId="1785" priority="1794" stopIfTrue="1" operator="greaterThanOrEqual">
      <formula>$J$8</formula>
    </cfRule>
  </conditionalFormatting>
  <conditionalFormatting sqref="W411:X411">
    <cfRule type="cellIs" dxfId="1784" priority="1789" stopIfTrue="1" operator="lessThanOrEqual">
      <formula>#REF!</formula>
    </cfRule>
    <cfRule type="cellIs" dxfId="1783" priority="1790" stopIfTrue="1" operator="between">
      <formula>#REF!</formula>
      <formula>#REF!</formula>
    </cfRule>
    <cfRule type="cellIs" dxfId="1782" priority="1791" stopIfTrue="1" operator="greaterThanOrEqual">
      <formula>#REF!</formula>
    </cfRule>
  </conditionalFormatting>
  <conditionalFormatting sqref="V411">
    <cfRule type="cellIs" dxfId="1781" priority="1786" stopIfTrue="1" operator="lessThanOrEqual">
      <formula>$I$8</formula>
    </cfRule>
    <cfRule type="cellIs" dxfId="1780" priority="1787" stopIfTrue="1" operator="between">
      <formula>$I$8</formula>
      <formula>$J$8</formula>
    </cfRule>
    <cfRule type="cellIs" dxfId="1779" priority="1788" stopIfTrue="1" operator="greaterThanOrEqual">
      <formula>$J$8</formula>
    </cfRule>
  </conditionalFormatting>
  <conditionalFormatting sqref="V411">
    <cfRule type="cellIs" dxfId="1778" priority="1783" stopIfTrue="1" operator="lessThanOrEqual">
      <formula>#REF!</formula>
    </cfRule>
    <cfRule type="cellIs" dxfId="1777" priority="1784" stopIfTrue="1" operator="between">
      <formula>#REF!</formula>
      <formula>#REF!</formula>
    </cfRule>
    <cfRule type="cellIs" dxfId="1776" priority="1785" stopIfTrue="1" operator="greaterThanOrEqual">
      <formula>#REF!</formula>
    </cfRule>
  </conditionalFormatting>
  <conditionalFormatting sqref="Y411">
    <cfRule type="cellIs" dxfId="1775" priority="1780" stopIfTrue="1" operator="lessThanOrEqual">
      <formula>$I$8</formula>
    </cfRule>
    <cfRule type="cellIs" dxfId="1774" priority="1781" stopIfTrue="1" operator="between">
      <formula>$I$8</formula>
      <formula>$J$8</formula>
    </cfRule>
    <cfRule type="cellIs" dxfId="1773" priority="1782" stopIfTrue="1" operator="greaterThanOrEqual">
      <formula>$J$8</formula>
    </cfRule>
  </conditionalFormatting>
  <conditionalFormatting sqref="Y411">
    <cfRule type="cellIs" dxfId="1772" priority="1777" stopIfTrue="1" operator="lessThanOrEqual">
      <formula>#REF!</formula>
    </cfRule>
    <cfRule type="cellIs" dxfId="1771" priority="1778" stopIfTrue="1" operator="between">
      <formula>#REF!</formula>
      <formula>#REF!</formula>
    </cfRule>
    <cfRule type="cellIs" dxfId="1770" priority="1779" stopIfTrue="1" operator="greaterThanOrEqual">
      <formula>#REF!</formula>
    </cfRule>
  </conditionalFormatting>
  <conditionalFormatting sqref="AC411">
    <cfRule type="cellIs" dxfId="1769" priority="1774" stopIfTrue="1" operator="lessThanOrEqual">
      <formula>$I$8</formula>
    </cfRule>
    <cfRule type="cellIs" dxfId="1768" priority="1775" stopIfTrue="1" operator="between">
      <formula>$I$8</formula>
      <formula>$J$8</formula>
    </cfRule>
    <cfRule type="cellIs" dxfId="1767" priority="1776" stopIfTrue="1" operator="greaterThanOrEqual">
      <formula>$J$8</formula>
    </cfRule>
  </conditionalFormatting>
  <conditionalFormatting sqref="AC411">
    <cfRule type="cellIs" dxfId="1766" priority="1771" stopIfTrue="1" operator="lessThanOrEqual">
      <formula>#REF!</formula>
    </cfRule>
    <cfRule type="cellIs" dxfId="1765" priority="1772" stopIfTrue="1" operator="between">
      <formula>#REF!</formula>
      <formula>#REF!</formula>
    </cfRule>
    <cfRule type="cellIs" dxfId="1764" priority="1773" stopIfTrue="1" operator="greaterThanOrEqual">
      <formula>#REF!</formula>
    </cfRule>
  </conditionalFormatting>
  <conditionalFormatting sqref="V212">
    <cfRule type="cellIs" dxfId="1763" priority="1768" stopIfTrue="1" operator="lessThanOrEqual">
      <formula>$I$8</formula>
    </cfRule>
    <cfRule type="cellIs" dxfId="1762" priority="1769" stopIfTrue="1" operator="between">
      <formula>$I$8</formula>
      <formula>$J$8</formula>
    </cfRule>
    <cfRule type="cellIs" dxfId="1761" priority="1770" stopIfTrue="1" operator="greaterThanOrEqual">
      <formula>$J$8</formula>
    </cfRule>
  </conditionalFormatting>
  <conditionalFormatting sqref="V212">
    <cfRule type="cellIs" dxfId="1760" priority="1765" stopIfTrue="1" operator="lessThanOrEqual">
      <formula>#REF!</formula>
    </cfRule>
    <cfRule type="cellIs" dxfId="1759" priority="1766" stopIfTrue="1" operator="between">
      <formula>#REF!</formula>
      <formula>#REF!</formula>
    </cfRule>
    <cfRule type="cellIs" dxfId="1758" priority="1767" stopIfTrue="1" operator="greaterThanOrEqual">
      <formula>#REF!</formula>
    </cfRule>
  </conditionalFormatting>
  <conditionalFormatting sqref="Z643:AC643">
    <cfRule type="cellIs" dxfId="1757" priority="1762" stopIfTrue="1" operator="lessThanOrEqual">
      <formula>$I$8</formula>
    </cfRule>
    <cfRule type="cellIs" dxfId="1756" priority="1763" stopIfTrue="1" operator="between">
      <formula>$I$8</formula>
      <formula>$J$8</formula>
    </cfRule>
    <cfRule type="cellIs" dxfId="1755" priority="1764" stopIfTrue="1" operator="greaterThanOrEqual">
      <formula>$J$8</formula>
    </cfRule>
  </conditionalFormatting>
  <conditionalFormatting sqref="Z643:AC643">
    <cfRule type="cellIs" dxfId="1754" priority="1759" stopIfTrue="1" operator="lessThanOrEqual">
      <formula>#REF!</formula>
    </cfRule>
    <cfRule type="cellIs" dxfId="1753" priority="1760" stopIfTrue="1" operator="between">
      <formula>#REF!</formula>
      <formula>#REF!</formula>
    </cfRule>
    <cfRule type="cellIs" dxfId="1752" priority="1761" stopIfTrue="1" operator="greaterThanOrEqual">
      <formula>#REF!</formula>
    </cfRule>
  </conditionalFormatting>
  <conditionalFormatting sqref="AC494">
    <cfRule type="cellIs" dxfId="1751" priority="1756" stopIfTrue="1" operator="lessThanOrEqual">
      <formula>$I$8</formula>
    </cfRule>
    <cfRule type="cellIs" dxfId="1750" priority="1757" stopIfTrue="1" operator="between">
      <formula>$I$8</formula>
      <formula>$J$8</formula>
    </cfRule>
    <cfRule type="cellIs" dxfId="1749" priority="1758" stopIfTrue="1" operator="greaterThanOrEqual">
      <formula>$J$8</formula>
    </cfRule>
  </conditionalFormatting>
  <conditionalFormatting sqref="AC494">
    <cfRule type="cellIs" dxfId="1748" priority="1753" stopIfTrue="1" operator="lessThanOrEqual">
      <formula>#REF!</formula>
    </cfRule>
    <cfRule type="cellIs" dxfId="1747" priority="1754" stopIfTrue="1" operator="between">
      <formula>#REF!</formula>
      <formula>#REF!</formula>
    </cfRule>
    <cfRule type="cellIs" dxfId="1746" priority="1755" stopIfTrue="1" operator="greaterThanOrEqual">
      <formula>#REF!</formula>
    </cfRule>
  </conditionalFormatting>
  <conditionalFormatting sqref="V420">
    <cfRule type="cellIs" dxfId="1745" priority="1750" stopIfTrue="1" operator="lessThanOrEqual">
      <formula>$I$8</formula>
    </cfRule>
    <cfRule type="cellIs" dxfId="1744" priority="1751" stopIfTrue="1" operator="between">
      <formula>$I$8</formula>
      <formula>$J$8</formula>
    </cfRule>
    <cfRule type="cellIs" dxfId="1743" priority="1752" stopIfTrue="1" operator="greaterThanOrEqual">
      <formula>$J$8</formula>
    </cfRule>
  </conditionalFormatting>
  <conditionalFormatting sqref="V420">
    <cfRule type="cellIs" dxfId="1742" priority="1747" stopIfTrue="1" operator="lessThanOrEqual">
      <formula>#REF!</formula>
    </cfRule>
    <cfRule type="cellIs" dxfId="1741" priority="1748" stopIfTrue="1" operator="between">
      <formula>#REF!</formula>
      <formula>#REF!</formula>
    </cfRule>
    <cfRule type="cellIs" dxfId="1740" priority="1749" stopIfTrue="1" operator="greaterThanOrEqual">
      <formula>#REF!</formula>
    </cfRule>
  </conditionalFormatting>
  <conditionalFormatting sqref="AA212:AC212">
    <cfRule type="cellIs" dxfId="1739" priority="1744" stopIfTrue="1" operator="lessThanOrEqual">
      <formula>$I$8</formula>
    </cfRule>
    <cfRule type="cellIs" dxfId="1738" priority="1745" stopIfTrue="1" operator="between">
      <formula>$I$8</formula>
      <formula>$J$8</formula>
    </cfRule>
    <cfRule type="cellIs" dxfId="1737" priority="1746" stopIfTrue="1" operator="greaterThanOrEqual">
      <formula>$J$8</formula>
    </cfRule>
  </conditionalFormatting>
  <conditionalFormatting sqref="AA212:AC212">
    <cfRule type="cellIs" dxfId="1736" priority="1741" stopIfTrue="1" operator="lessThanOrEqual">
      <formula>#REF!</formula>
    </cfRule>
    <cfRule type="cellIs" dxfId="1735" priority="1742" stopIfTrue="1" operator="between">
      <formula>#REF!</formula>
      <formula>#REF!</formula>
    </cfRule>
    <cfRule type="cellIs" dxfId="1734" priority="1743" stopIfTrue="1" operator="greaterThanOrEqual">
      <formula>#REF!</formula>
    </cfRule>
  </conditionalFormatting>
  <conditionalFormatting sqref="AU50:BB50">
    <cfRule type="cellIs" dxfId="1733" priority="1738" stopIfTrue="1" operator="lessThanOrEqual">
      <formula>$I$8</formula>
    </cfRule>
    <cfRule type="cellIs" dxfId="1732" priority="1739" stopIfTrue="1" operator="between">
      <formula>$I$8</formula>
      <formula>$J$8</formula>
    </cfRule>
    <cfRule type="cellIs" dxfId="1731" priority="1740" stopIfTrue="1" operator="greaterThanOrEqual">
      <formula>$J$8</formula>
    </cfRule>
  </conditionalFormatting>
  <conditionalFormatting sqref="AU50:BB50">
    <cfRule type="cellIs" dxfId="1730" priority="1735" stopIfTrue="1" operator="lessThanOrEqual">
      <formula>#REF!</formula>
    </cfRule>
    <cfRule type="cellIs" dxfId="1729" priority="1736" stopIfTrue="1" operator="between">
      <formula>#REF!</formula>
      <formula>#REF!</formula>
    </cfRule>
    <cfRule type="cellIs" dxfId="1728" priority="1737" stopIfTrue="1" operator="greaterThanOrEqual">
      <formula>#REF!</formula>
    </cfRule>
  </conditionalFormatting>
  <conditionalFormatting sqref="AV53 AZ53">
    <cfRule type="cellIs" dxfId="1727" priority="1732" stopIfTrue="1" operator="lessThanOrEqual">
      <formula>$I$8</formula>
    </cfRule>
    <cfRule type="cellIs" dxfId="1726" priority="1733" stopIfTrue="1" operator="between">
      <formula>$I$8</formula>
      <formula>$J$8</formula>
    </cfRule>
    <cfRule type="cellIs" dxfId="1725" priority="1734" stopIfTrue="1" operator="greaterThanOrEqual">
      <formula>$J$8</formula>
    </cfRule>
  </conditionalFormatting>
  <conditionalFormatting sqref="AV53 AZ53">
    <cfRule type="cellIs" dxfId="1724" priority="1729" stopIfTrue="1" operator="lessThanOrEqual">
      <formula>#REF!</formula>
    </cfRule>
    <cfRule type="cellIs" dxfId="1723" priority="1730" stopIfTrue="1" operator="between">
      <formula>#REF!</formula>
      <formula>#REF!</formula>
    </cfRule>
    <cfRule type="cellIs" dxfId="1722" priority="1731" stopIfTrue="1" operator="greaterThanOrEqual">
      <formula>#REF!</formula>
    </cfRule>
  </conditionalFormatting>
  <conditionalFormatting sqref="AU59:BB59">
    <cfRule type="cellIs" dxfId="1721" priority="1726" stopIfTrue="1" operator="lessThanOrEqual">
      <formula>$I$8</formula>
    </cfRule>
    <cfRule type="cellIs" dxfId="1720" priority="1727" stopIfTrue="1" operator="between">
      <formula>$I$8</formula>
      <formula>$J$8</formula>
    </cfRule>
    <cfRule type="cellIs" dxfId="1719" priority="1728" stopIfTrue="1" operator="greaterThanOrEqual">
      <formula>$J$8</formula>
    </cfRule>
  </conditionalFormatting>
  <conditionalFormatting sqref="AU59:BB59">
    <cfRule type="cellIs" dxfId="1718" priority="1723" stopIfTrue="1" operator="lessThanOrEqual">
      <formula>#REF!</formula>
    </cfRule>
    <cfRule type="cellIs" dxfId="1717" priority="1724" stopIfTrue="1" operator="between">
      <formula>#REF!</formula>
      <formula>#REF!</formula>
    </cfRule>
    <cfRule type="cellIs" dxfId="1716" priority="1725" stopIfTrue="1" operator="greaterThanOrEqual">
      <formula>#REF!</formula>
    </cfRule>
  </conditionalFormatting>
  <conditionalFormatting sqref="AX56">
    <cfRule type="cellIs" dxfId="1715" priority="1720" stopIfTrue="1" operator="lessThanOrEqual">
      <formula>$I$8</formula>
    </cfRule>
    <cfRule type="cellIs" dxfId="1714" priority="1721" stopIfTrue="1" operator="between">
      <formula>$I$8</formula>
      <formula>$J$8</formula>
    </cfRule>
    <cfRule type="cellIs" dxfId="1713" priority="1722" stopIfTrue="1" operator="greaterThanOrEqual">
      <formula>$J$8</formula>
    </cfRule>
  </conditionalFormatting>
  <conditionalFormatting sqref="AX56">
    <cfRule type="cellIs" dxfId="1712" priority="1717" stopIfTrue="1" operator="lessThanOrEqual">
      <formula>#REF!</formula>
    </cfRule>
    <cfRule type="cellIs" dxfId="1711" priority="1718" stopIfTrue="1" operator="between">
      <formula>#REF!</formula>
      <formula>#REF!</formula>
    </cfRule>
    <cfRule type="cellIs" dxfId="1710" priority="1719" stopIfTrue="1" operator="greaterThanOrEqual">
      <formula>#REF!</formula>
    </cfRule>
  </conditionalFormatting>
  <conditionalFormatting sqref="BB56">
    <cfRule type="cellIs" dxfId="1709" priority="1714" stopIfTrue="1" operator="lessThanOrEqual">
      <formula>$I$8</formula>
    </cfRule>
    <cfRule type="cellIs" dxfId="1708" priority="1715" stopIfTrue="1" operator="between">
      <formula>$I$8</formula>
      <formula>$J$8</formula>
    </cfRule>
    <cfRule type="cellIs" dxfId="1707" priority="1716" stopIfTrue="1" operator="greaterThanOrEqual">
      <formula>$J$8</formula>
    </cfRule>
  </conditionalFormatting>
  <conditionalFormatting sqref="BB56">
    <cfRule type="cellIs" dxfId="1706" priority="1711" stopIfTrue="1" operator="lessThanOrEqual">
      <formula>#REF!</formula>
    </cfRule>
    <cfRule type="cellIs" dxfId="1705" priority="1712" stopIfTrue="1" operator="between">
      <formula>#REF!</formula>
      <formula>#REF!</formula>
    </cfRule>
    <cfRule type="cellIs" dxfId="1704" priority="1713" stopIfTrue="1" operator="greaterThanOrEqual">
      <formula>#REF!</formula>
    </cfRule>
  </conditionalFormatting>
  <conditionalFormatting sqref="BD50">
    <cfRule type="cellIs" dxfId="1703" priority="1708" stopIfTrue="1" operator="lessThanOrEqual">
      <formula>$I$8</formula>
    </cfRule>
    <cfRule type="cellIs" dxfId="1702" priority="1709" stopIfTrue="1" operator="between">
      <formula>$I$8</formula>
      <formula>$J$8</formula>
    </cfRule>
    <cfRule type="cellIs" dxfId="1701" priority="1710" stopIfTrue="1" operator="greaterThanOrEqual">
      <formula>$J$8</formula>
    </cfRule>
  </conditionalFormatting>
  <conditionalFormatting sqref="BD50">
    <cfRule type="cellIs" dxfId="1700" priority="1705" stopIfTrue="1" operator="lessThanOrEqual">
      <formula>#REF!</formula>
    </cfRule>
    <cfRule type="cellIs" dxfId="1699" priority="1706" stopIfTrue="1" operator="between">
      <formula>#REF!</formula>
      <formula>#REF!</formula>
    </cfRule>
    <cfRule type="cellIs" dxfId="1698" priority="1707" stopIfTrue="1" operator="greaterThanOrEqual">
      <formula>#REF!</formula>
    </cfRule>
  </conditionalFormatting>
  <conditionalFormatting sqref="AU75:BB75">
    <cfRule type="cellIs" dxfId="1697" priority="1702" stopIfTrue="1" operator="lessThanOrEqual">
      <formula>$I$8</formula>
    </cfRule>
    <cfRule type="cellIs" dxfId="1696" priority="1703" stopIfTrue="1" operator="between">
      <formula>$I$8</formula>
      <formula>$J$8</formula>
    </cfRule>
    <cfRule type="cellIs" dxfId="1695" priority="1704" stopIfTrue="1" operator="greaterThanOrEqual">
      <formula>$J$8</formula>
    </cfRule>
  </conditionalFormatting>
  <conditionalFormatting sqref="AU75:BB75">
    <cfRule type="cellIs" dxfId="1694" priority="1699" stopIfTrue="1" operator="lessThanOrEqual">
      <formula>#REF!</formula>
    </cfRule>
    <cfRule type="cellIs" dxfId="1693" priority="1700" stopIfTrue="1" operator="between">
      <formula>#REF!</formula>
      <formula>#REF!</formula>
    </cfRule>
    <cfRule type="cellIs" dxfId="1692" priority="1701" stopIfTrue="1" operator="greaterThanOrEqual">
      <formula>#REF!</formula>
    </cfRule>
  </conditionalFormatting>
  <conditionalFormatting sqref="AX78 BB78">
    <cfRule type="cellIs" dxfId="1691" priority="1696" stopIfTrue="1" operator="lessThanOrEqual">
      <formula>$I$8</formula>
    </cfRule>
    <cfRule type="cellIs" dxfId="1690" priority="1697" stopIfTrue="1" operator="between">
      <formula>$I$8</formula>
      <formula>$J$8</formula>
    </cfRule>
    <cfRule type="cellIs" dxfId="1689" priority="1698" stopIfTrue="1" operator="greaterThanOrEqual">
      <formula>$J$8</formula>
    </cfRule>
  </conditionalFormatting>
  <conditionalFormatting sqref="AX78 BB78">
    <cfRule type="cellIs" dxfId="1688" priority="1693" stopIfTrue="1" operator="lessThanOrEqual">
      <formula>#REF!</formula>
    </cfRule>
    <cfRule type="cellIs" dxfId="1687" priority="1694" stopIfTrue="1" operator="between">
      <formula>#REF!</formula>
      <formula>#REF!</formula>
    </cfRule>
    <cfRule type="cellIs" dxfId="1686" priority="1695" stopIfTrue="1" operator="greaterThanOrEqual">
      <formula>#REF!</formula>
    </cfRule>
  </conditionalFormatting>
  <conditionalFormatting sqref="AU81:BB81">
    <cfRule type="cellIs" dxfId="1685" priority="1690" stopIfTrue="1" operator="lessThanOrEqual">
      <formula>$I$8</formula>
    </cfRule>
    <cfRule type="cellIs" dxfId="1684" priority="1691" stopIfTrue="1" operator="between">
      <formula>$I$8</formula>
      <formula>$J$8</formula>
    </cfRule>
    <cfRule type="cellIs" dxfId="1683" priority="1692" stopIfTrue="1" operator="greaterThanOrEqual">
      <formula>$J$8</formula>
    </cfRule>
  </conditionalFormatting>
  <conditionalFormatting sqref="AU81:BB81">
    <cfRule type="cellIs" dxfId="1682" priority="1687" stopIfTrue="1" operator="lessThanOrEqual">
      <formula>#REF!</formula>
    </cfRule>
    <cfRule type="cellIs" dxfId="1681" priority="1688" stopIfTrue="1" operator="between">
      <formula>#REF!</formula>
      <formula>#REF!</formula>
    </cfRule>
    <cfRule type="cellIs" dxfId="1680" priority="1689" stopIfTrue="1" operator="greaterThanOrEqual">
      <formula>#REF!</formula>
    </cfRule>
  </conditionalFormatting>
  <conditionalFormatting sqref="AU84:BB84">
    <cfRule type="cellIs" dxfId="1679" priority="1684" stopIfTrue="1" operator="lessThanOrEqual">
      <formula>$I$8</formula>
    </cfRule>
    <cfRule type="cellIs" dxfId="1678" priority="1685" stopIfTrue="1" operator="between">
      <formula>$I$8</formula>
      <formula>$J$8</formula>
    </cfRule>
    <cfRule type="cellIs" dxfId="1677" priority="1686" stopIfTrue="1" operator="greaterThanOrEqual">
      <formula>$J$8</formula>
    </cfRule>
  </conditionalFormatting>
  <conditionalFormatting sqref="AU84:BB84">
    <cfRule type="cellIs" dxfId="1676" priority="1681" stopIfTrue="1" operator="lessThanOrEqual">
      <formula>#REF!</formula>
    </cfRule>
    <cfRule type="cellIs" dxfId="1675" priority="1682" stopIfTrue="1" operator="between">
      <formula>#REF!</formula>
      <formula>#REF!</formula>
    </cfRule>
    <cfRule type="cellIs" dxfId="1674" priority="1683" stopIfTrue="1" operator="greaterThanOrEqual">
      <formula>#REF!</formula>
    </cfRule>
  </conditionalFormatting>
  <conditionalFormatting sqref="BD75">
    <cfRule type="cellIs" dxfId="1673" priority="1678" stopIfTrue="1" operator="lessThanOrEqual">
      <formula>$I$8</formula>
    </cfRule>
    <cfRule type="cellIs" dxfId="1672" priority="1679" stopIfTrue="1" operator="between">
      <formula>$I$8</formula>
      <formula>$J$8</formula>
    </cfRule>
    <cfRule type="cellIs" dxfId="1671" priority="1680" stopIfTrue="1" operator="greaterThanOrEqual">
      <formula>$J$8</formula>
    </cfRule>
  </conditionalFormatting>
  <conditionalFormatting sqref="BD75">
    <cfRule type="cellIs" dxfId="1670" priority="1675" stopIfTrue="1" operator="lessThanOrEqual">
      <formula>#REF!</formula>
    </cfRule>
    <cfRule type="cellIs" dxfId="1669" priority="1676" stopIfTrue="1" operator="between">
      <formula>#REF!</formula>
      <formula>#REF!</formula>
    </cfRule>
    <cfRule type="cellIs" dxfId="1668" priority="1677" stopIfTrue="1" operator="greaterThanOrEqual">
      <formula>#REF!</formula>
    </cfRule>
  </conditionalFormatting>
  <conditionalFormatting sqref="AU102:BB102 AV105 AX105 AZ105 BB105 AU108:BB108 AX111 BB111 AV114 AX114 AZ114 BB114 AV117 AX117 AZ117 BB117 AV120 AX120 AZ120 BB120 AV123 AX123 AZ123 BB123">
    <cfRule type="cellIs" dxfId="1667" priority="1672" stopIfTrue="1" operator="lessThanOrEqual">
      <formula>$I$8</formula>
    </cfRule>
    <cfRule type="cellIs" dxfId="1666" priority="1673" stopIfTrue="1" operator="between">
      <formula>$I$8</formula>
      <formula>$J$8</formula>
    </cfRule>
    <cfRule type="cellIs" dxfId="1665" priority="1674" stopIfTrue="1" operator="greaterThanOrEqual">
      <formula>$J$8</formula>
    </cfRule>
  </conditionalFormatting>
  <conditionalFormatting sqref="AU102:BB102 AV105 AX105 AZ105 BB105 AU108:BB108 AX111 BB111 AV114 AX114 AZ114 BB114 AV117 AX117 AZ117 BB117 AV120 AX120 AZ120 BB120 AV123 AX123 AZ123 BB123">
    <cfRule type="cellIs" dxfId="1664" priority="1669" stopIfTrue="1" operator="lessThanOrEqual">
      <formula>#REF!</formula>
    </cfRule>
    <cfRule type="cellIs" dxfId="1663" priority="1670" stopIfTrue="1" operator="between">
      <formula>#REF!</formula>
      <formula>#REF!</formula>
    </cfRule>
    <cfRule type="cellIs" dxfId="1662" priority="1671" stopIfTrue="1" operator="greaterThanOrEqual">
      <formula>#REF!</formula>
    </cfRule>
  </conditionalFormatting>
  <conditionalFormatting sqref="AV139 AX139 AZ139 BB139">
    <cfRule type="cellIs" dxfId="1661" priority="1666" stopIfTrue="1" operator="lessThanOrEqual">
      <formula>$I$8</formula>
    </cfRule>
    <cfRule type="cellIs" dxfId="1660" priority="1667" stopIfTrue="1" operator="between">
      <formula>$I$8</formula>
      <formula>$J$8</formula>
    </cfRule>
    <cfRule type="cellIs" dxfId="1659" priority="1668" stopIfTrue="1" operator="greaterThanOrEqual">
      <formula>$J$8</formula>
    </cfRule>
  </conditionalFormatting>
  <conditionalFormatting sqref="AV139 AX139 AZ139 BB139">
    <cfRule type="cellIs" dxfId="1658" priority="1663" stopIfTrue="1" operator="lessThanOrEqual">
      <formula>#REF!</formula>
    </cfRule>
    <cfRule type="cellIs" dxfId="1657" priority="1664" stopIfTrue="1" operator="between">
      <formula>#REF!</formula>
      <formula>#REF!</formula>
    </cfRule>
    <cfRule type="cellIs" dxfId="1656" priority="1665" stopIfTrue="1" operator="greaterThanOrEqual">
      <formula>#REF!</formula>
    </cfRule>
  </conditionalFormatting>
  <conditionalFormatting sqref="AU142:BB142">
    <cfRule type="cellIs" dxfId="1655" priority="1660" stopIfTrue="1" operator="lessThanOrEqual">
      <formula>$I$8</formula>
    </cfRule>
    <cfRule type="cellIs" dxfId="1654" priority="1661" stopIfTrue="1" operator="between">
      <formula>$I$8</formula>
      <formula>$J$8</formula>
    </cfRule>
    <cfRule type="cellIs" dxfId="1653" priority="1662" stopIfTrue="1" operator="greaterThanOrEqual">
      <formula>$J$8</formula>
    </cfRule>
  </conditionalFormatting>
  <conditionalFormatting sqref="AU142:BB142">
    <cfRule type="cellIs" dxfId="1652" priority="1657" stopIfTrue="1" operator="lessThanOrEqual">
      <formula>#REF!</formula>
    </cfRule>
    <cfRule type="cellIs" dxfId="1651" priority="1658" stopIfTrue="1" operator="between">
      <formula>#REF!</formula>
      <formula>#REF!</formula>
    </cfRule>
    <cfRule type="cellIs" dxfId="1650" priority="1659" stopIfTrue="1" operator="greaterThanOrEqual">
      <formula>#REF!</formula>
    </cfRule>
  </conditionalFormatting>
  <conditionalFormatting sqref="BD139">
    <cfRule type="cellIs" dxfId="1649" priority="1654" stopIfTrue="1" operator="lessThanOrEqual">
      <formula>$I$8</formula>
    </cfRule>
    <cfRule type="cellIs" dxfId="1648" priority="1655" stopIfTrue="1" operator="between">
      <formula>$I$8</formula>
      <formula>$J$8</formula>
    </cfRule>
    <cfRule type="cellIs" dxfId="1647" priority="1656" stopIfTrue="1" operator="greaterThanOrEqual">
      <formula>$J$8</formula>
    </cfRule>
  </conditionalFormatting>
  <conditionalFormatting sqref="BD139">
    <cfRule type="cellIs" dxfId="1646" priority="1651" stopIfTrue="1" operator="lessThanOrEqual">
      <formula>#REF!</formula>
    </cfRule>
    <cfRule type="cellIs" dxfId="1645" priority="1652" stopIfTrue="1" operator="between">
      <formula>#REF!</formula>
      <formula>#REF!</formula>
    </cfRule>
    <cfRule type="cellIs" dxfId="1644" priority="1653" stopIfTrue="1" operator="greaterThanOrEqual">
      <formula>#REF!</formula>
    </cfRule>
  </conditionalFormatting>
  <conditionalFormatting sqref="AU158:BB158">
    <cfRule type="cellIs" dxfId="1643" priority="1648" stopIfTrue="1" operator="lessThanOrEqual">
      <formula>$I$8</formula>
    </cfRule>
    <cfRule type="cellIs" dxfId="1642" priority="1649" stopIfTrue="1" operator="between">
      <formula>$I$8</formula>
      <formula>$J$8</formula>
    </cfRule>
    <cfRule type="cellIs" dxfId="1641" priority="1650" stopIfTrue="1" operator="greaterThanOrEqual">
      <formula>$J$8</formula>
    </cfRule>
  </conditionalFormatting>
  <conditionalFormatting sqref="AU158:BB158">
    <cfRule type="cellIs" dxfId="1640" priority="1645" stopIfTrue="1" operator="lessThanOrEqual">
      <formula>#REF!</formula>
    </cfRule>
    <cfRule type="cellIs" dxfId="1639" priority="1646" stopIfTrue="1" operator="between">
      <formula>#REF!</formula>
      <formula>#REF!</formula>
    </cfRule>
    <cfRule type="cellIs" dxfId="1638" priority="1647" stopIfTrue="1" operator="greaterThanOrEqual">
      <formula>#REF!</formula>
    </cfRule>
  </conditionalFormatting>
  <conditionalFormatting sqref="AU161:BB161">
    <cfRule type="cellIs" dxfId="1637" priority="1642" stopIfTrue="1" operator="lessThanOrEqual">
      <formula>$I$8</formula>
    </cfRule>
    <cfRule type="cellIs" dxfId="1636" priority="1643" stopIfTrue="1" operator="between">
      <formula>$I$8</formula>
      <formula>$J$8</formula>
    </cfRule>
    <cfRule type="cellIs" dxfId="1635" priority="1644" stopIfTrue="1" operator="greaterThanOrEqual">
      <formula>$J$8</formula>
    </cfRule>
  </conditionalFormatting>
  <conditionalFormatting sqref="AU161:BB161">
    <cfRule type="cellIs" dxfId="1634" priority="1639" stopIfTrue="1" operator="lessThanOrEqual">
      <formula>#REF!</formula>
    </cfRule>
    <cfRule type="cellIs" dxfId="1633" priority="1640" stopIfTrue="1" operator="between">
      <formula>#REF!</formula>
      <formula>#REF!</formula>
    </cfRule>
    <cfRule type="cellIs" dxfId="1632" priority="1641" stopIfTrue="1" operator="greaterThanOrEqual">
      <formula>#REF!</formula>
    </cfRule>
  </conditionalFormatting>
  <conditionalFormatting sqref="AU164:BB164">
    <cfRule type="cellIs" dxfId="1631" priority="1636" stopIfTrue="1" operator="lessThanOrEqual">
      <formula>$I$8</formula>
    </cfRule>
    <cfRule type="cellIs" dxfId="1630" priority="1637" stopIfTrue="1" operator="between">
      <formula>$I$8</formula>
      <formula>$J$8</formula>
    </cfRule>
    <cfRule type="cellIs" dxfId="1629" priority="1638" stopIfTrue="1" operator="greaterThanOrEqual">
      <formula>$J$8</formula>
    </cfRule>
  </conditionalFormatting>
  <conditionalFormatting sqref="AU164:BB164">
    <cfRule type="cellIs" dxfId="1628" priority="1633" stopIfTrue="1" operator="lessThanOrEqual">
      <formula>#REF!</formula>
    </cfRule>
    <cfRule type="cellIs" dxfId="1627" priority="1634" stopIfTrue="1" operator="between">
      <formula>#REF!</formula>
      <formula>#REF!</formula>
    </cfRule>
    <cfRule type="cellIs" dxfId="1626" priority="1635" stopIfTrue="1" operator="greaterThanOrEqual">
      <formula>#REF!</formula>
    </cfRule>
  </conditionalFormatting>
  <conditionalFormatting sqref="AU167:BB167">
    <cfRule type="cellIs" dxfId="1625" priority="1630" stopIfTrue="1" operator="lessThanOrEqual">
      <formula>$I$8</formula>
    </cfRule>
    <cfRule type="cellIs" dxfId="1624" priority="1631" stopIfTrue="1" operator="between">
      <formula>$I$8</formula>
      <formula>$J$8</formula>
    </cfRule>
    <cfRule type="cellIs" dxfId="1623" priority="1632" stopIfTrue="1" operator="greaterThanOrEqual">
      <formula>$J$8</formula>
    </cfRule>
  </conditionalFormatting>
  <conditionalFormatting sqref="AU167:BB167">
    <cfRule type="cellIs" dxfId="1622" priority="1627" stopIfTrue="1" operator="lessThanOrEqual">
      <formula>#REF!</formula>
    </cfRule>
    <cfRule type="cellIs" dxfId="1621" priority="1628" stopIfTrue="1" operator="between">
      <formula>#REF!</formula>
      <formula>#REF!</formula>
    </cfRule>
    <cfRule type="cellIs" dxfId="1620" priority="1629" stopIfTrue="1" operator="greaterThanOrEqual">
      <formula>#REF!</formula>
    </cfRule>
  </conditionalFormatting>
  <conditionalFormatting sqref="AU170:BB170">
    <cfRule type="cellIs" dxfId="1619" priority="1624" stopIfTrue="1" operator="lessThanOrEqual">
      <formula>$I$8</formula>
    </cfRule>
    <cfRule type="cellIs" dxfId="1618" priority="1625" stopIfTrue="1" operator="between">
      <formula>$I$8</formula>
      <formula>$J$8</formula>
    </cfRule>
    <cfRule type="cellIs" dxfId="1617" priority="1626" stopIfTrue="1" operator="greaterThanOrEqual">
      <formula>$J$8</formula>
    </cfRule>
  </conditionalFormatting>
  <conditionalFormatting sqref="AU170:BB170">
    <cfRule type="cellIs" dxfId="1616" priority="1621" stopIfTrue="1" operator="lessThanOrEqual">
      <formula>#REF!</formula>
    </cfRule>
    <cfRule type="cellIs" dxfId="1615" priority="1622" stopIfTrue="1" operator="between">
      <formula>#REF!</formula>
      <formula>#REF!</formula>
    </cfRule>
    <cfRule type="cellIs" dxfId="1614" priority="1623" stopIfTrue="1" operator="greaterThanOrEqual">
      <formula>#REF!</formula>
    </cfRule>
  </conditionalFormatting>
  <conditionalFormatting sqref="AU173:BB173">
    <cfRule type="cellIs" dxfId="1613" priority="1618" stopIfTrue="1" operator="lessThanOrEqual">
      <formula>$I$8</formula>
    </cfRule>
    <cfRule type="cellIs" dxfId="1612" priority="1619" stopIfTrue="1" operator="between">
      <formula>$I$8</formula>
      <formula>$J$8</formula>
    </cfRule>
    <cfRule type="cellIs" dxfId="1611" priority="1620" stopIfTrue="1" operator="greaterThanOrEqual">
      <formula>$J$8</formula>
    </cfRule>
  </conditionalFormatting>
  <conditionalFormatting sqref="AU173:BB173">
    <cfRule type="cellIs" dxfId="1610" priority="1615" stopIfTrue="1" operator="lessThanOrEqual">
      <formula>#REF!</formula>
    </cfRule>
    <cfRule type="cellIs" dxfId="1609" priority="1616" stopIfTrue="1" operator="between">
      <formula>#REF!</formula>
      <formula>#REF!</formula>
    </cfRule>
    <cfRule type="cellIs" dxfId="1608" priority="1617" stopIfTrue="1" operator="greaterThanOrEqual">
      <formula>#REF!</formula>
    </cfRule>
  </conditionalFormatting>
  <conditionalFormatting sqref="AU176:BB176">
    <cfRule type="cellIs" dxfId="1607" priority="1612" stopIfTrue="1" operator="lessThanOrEqual">
      <formula>$I$8</formula>
    </cfRule>
    <cfRule type="cellIs" dxfId="1606" priority="1613" stopIfTrue="1" operator="between">
      <formula>$I$8</formula>
      <formula>$J$8</formula>
    </cfRule>
    <cfRule type="cellIs" dxfId="1605" priority="1614" stopIfTrue="1" operator="greaterThanOrEqual">
      <formula>$J$8</formula>
    </cfRule>
  </conditionalFormatting>
  <conditionalFormatting sqref="AU176:BB176">
    <cfRule type="cellIs" dxfId="1604" priority="1609" stopIfTrue="1" operator="lessThanOrEqual">
      <formula>#REF!</formula>
    </cfRule>
    <cfRule type="cellIs" dxfId="1603" priority="1610" stopIfTrue="1" operator="between">
      <formula>#REF!</formula>
      <formula>#REF!</formula>
    </cfRule>
    <cfRule type="cellIs" dxfId="1602" priority="1611" stopIfTrue="1" operator="greaterThanOrEqual">
      <formula>#REF!</formula>
    </cfRule>
  </conditionalFormatting>
  <conditionalFormatting sqref="AU179:BB179">
    <cfRule type="cellIs" dxfId="1601" priority="1606" stopIfTrue="1" operator="lessThanOrEqual">
      <formula>$I$8</formula>
    </cfRule>
    <cfRule type="cellIs" dxfId="1600" priority="1607" stopIfTrue="1" operator="between">
      <formula>$I$8</formula>
      <formula>$J$8</formula>
    </cfRule>
    <cfRule type="cellIs" dxfId="1599" priority="1608" stopIfTrue="1" operator="greaterThanOrEqual">
      <formula>$J$8</formula>
    </cfRule>
  </conditionalFormatting>
  <conditionalFormatting sqref="AU179:BB179">
    <cfRule type="cellIs" dxfId="1598" priority="1603" stopIfTrue="1" operator="lessThanOrEqual">
      <formula>#REF!</formula>
    </cfRule>
    <cfRule type="cellIs" dxfId="1597" priority="1604" stopIfTrue="1" operator="between">
      <formula>#REF!</formula>
      <formula>#REF!</formula>
    </cfRule>
    <cfRule type="cellIs" dxfId="1596" priority="1605" stopIfTrue="1" operator="greaterThanOrEqual">
      <formula>#REF!</formula>
    </cfRule>
  </conditionalFormatting>
  <conditionalFormatting sqref="AU182:BB182">
    <cfRule type="cellIs" dxfId="1595" priority="1600" stopIfTrue="1" operator="lessThanOrEqual">
      <formula>$I$8</formula>
    </cfRule>
    <cfRule type="cellIs" dxfId="1594" priority="1601" stopIfTrue="1" operator="between">
      <formula>$I$8</formula>
      <formula>$J$8</formula>
    </cfRule>
    <cfRule type="cellIs" dxfId="1593" priority="1602" stopIfTrue="1" operator="greaterThanOrEqual">
      <formula>$J$8</formula>
    </cfRule>
  </conditionalFormatting>
  <conditionalFormatting sqref="AU182:BB182">
    <cfRule type="cellIs" dxfId="1592" priority="1597" stopIfTrue="1" operator="lessThanOrEqual">
      <formula>#REF!</formula>
    </cfRule>
    <cfRule type="cellIs" dxfId="1591" priority="1598" stopIfTrue="1" operator="between">
      <formula>#REF!</formula>
      <formula>#REF!</formula>
    </cfRule>
    <cfRule type="cellIs" dxfId="1590" priority="1599" stopIfTrue="1" operator="greaterThanOrEqual">
      <formula>#REF!</formula>
    </cfRule>
  </conditionalFormatting>
  <conditionalFormatting sqref="AU185:BB185">
    <cfRule type="cellIs" dxfId="1589" priority="1594" stopIfTrue="1" operator="lessThanOrEqual">
      <formula>$I$8</formula>
    </cfRule>
    <cfRule type="cellIs" dxfId="1588" priority="1595" stopIfTrue="1" operator="between">
      <formula>$I$8</formula>
      <formula>$J$8</formula>
    </cfRule>
    <cfRule type="cellIs" dxfId="1587" priority="1596" stopIfTrue="1" operator="greaterThanOrEqual">
      <formula>$J$8</formula>
    </cfRule>
  </conditionalFormatting>
  <conditionalFormatting sqref="AU185:BB185">
    <cfRule type="cellIs" dxfId="1586" priority="1591" stopIfTrue="1" operator="lessThanOrEqual">
      <formula>#REF!</formula>
    </cfRule>
    <cfRule type="cellIs" dxfId="1585" priority="1592" stopIfTrue="1" operator="between">
      <formula>#REF!</formula>
      <formula>#REF!</formula>
    </cfRule>
    <cfRule type="cellIs" dxfId="1584" priority="1593" stopIfTrue="1" operator="greaterThanOrEqual">
      <formula>#REF!</formula>
    </cfRule>
  </conditionalFormatting>
  <conditionalFormatting sqref="AU188:BB188">
    <cfRule type="cellIs" dxfId="1583" priority="1588" stopIfTrue="1" operator="lessThanOrEqual">
      <formula>$I$8</formula>
    </cfRule>
    <cfRule type="cellIs" dxfId="1582" priority="1589" stopIfTrue="1" operator="between">
      <formula>$I$8</formula>
      <formula>$J$8</formula>
    </cfRule>
    <cfRule type="cellIs" dxfId="1581" priority="1590" stopIfTrue="1" operator="greaterThanOrEqual">
      <formula>$J$8</formula>
    </cfRule>
  </conditionalFormatting>
  <conditionalFormatting sqref="AU188:BB188">
    <cfRule type="cellIs" dxfId="1580" priority="1585" stopIfTrue="1" operator="lessThanOrEqual">
      <formula>#REF!</formula>
    </cfRule>
    <cfRule type="cellIs" dxfId="1579" priority="1586" stopIfTrue="1" operator="between">
      <formula>#REF!</formula>
      <formula>#REF!</formula>
    </cfRule>
    <cfRule type="cellIs" dxfId="1578" priority="1587" stopIfTrue="1" operator="greaterThanOrEqual">
      <formula>#REF!</formula>
    </cfRule>
  </conditionalFormatting>
  <conditionalFormatting sqref="W157:Y157 AA157:AC157">
    <cfRule type="cellIs" dxfId="1577" priority="1582" stopIfTrue="1" operator="lessThanOrEqual">
      <formula>$I$8</formula>
    </cfRule>
    <cfRule type="cellIs" dxfId="1576" priority="1583" stopIfTrue="1" operator="between">
      <formula>$I$8</formula>
      <formula>$J$8</formula>
    </cfRule>
    <cfRule type="cellIs" dxfId="1575" priority="1584" stopIfTrue="1" operator="greaterThanOrEqual">
      <formula>$J$8</formula>
    </cfRule>
  </conditionalFormatting>
  <conditionalFormatting sqref="W157:Y157 AA157:AC157">
    <cfRule type="cellIs" dxfId="1574" priority="1579" stopIfTrue="1" operator="lessThanOrEqual">
      <formula>#REF!</formula>
    </cfRule>
    <cfRule type="cellIs" dxfId="1573" priority="1580" stopIfTrue="1" operator="between">
      <formula>#REF!</formula>
      <formula>#REF!</formula>
    </cfRule>
    <cfRule type="cellIs" dxfId="1572" priority="1581" stopIfTrue="1" operator="greaterThanOrEqual">
      <formula>#REF!</formula>
    </cfRule>
  </conditionalFormatting>
  <conditionalFormatting sqref="BD207">
    <cfRule type="cellIs" dxfId="1571" priority="1576" stopIfTrue="1" operator="lessThanOrEqual">
      <formula>$I$8</formula>
    </cfRule>
    <cfRule type="cellIs" dxfId="1570" priority="1577" stopIfTrue="1" operator="between">
      <formula>$I$8</formula>
      <formula>$J$8</formula>
    </cfRule>
    <cfRule type="cellIs" dxfId="1569" priority="1578" stopIfTrue="1" operator="greaterThanOrEqual">
      <formula>$J$8</formula>
    </cfRule>
  </conditionalFormatting>
  <conditionalFormatting sqref="BD207">
    <cfRule type="cellIs" dxfId="1568" priority="1573" stopIfTrue="1" operator="lessThanOrEqual">
      <formula>#REF!</formula>
    </cfRule>
    <cfRule type="cellIs" dxfId="1567" priority="1574" stopIfTrue="1" operator="between">
      <formula>#REF!</formula>
      <formula>#REF!</formula>
    </cfRule>
    <cfRule type="cellIs" dxfId="1566" priority="1575" stopIfTrue="1" operator="greaterThanOrEqual">
      <formula>#REF!</formula>
    </cfRule>
  </conditionalFormatting>
  <conditionalFormatting sqref="AU255:BB255">
    <cfRule type="cellIs" dxfId="1565" priority="1570" stopIfTrue="1" operator="lessThanOrEqual">
      <formula>$I$8</formula>
    </cfRule>
    <cfRule type="cellIs" dxfId="1564" priority="1571" stopIfTrue="1" operator="between">
      <formula>$I$8</formula>
      <formula>$J$8</formula>
    </cfRule>
    <cfRule type="cellIs" dxfId="1563" priority="1572" stopIfTrue="1" operator="greaterThanOrEqual">
      <formula>$J$8</formula>
    </cfRule>
  </conditionalFormatting>
  <conditionalFormatting sqref="AU255:BB255">
    <cfRule type="cellIs" dxfId="1562" priority="1567" stopIfTrue="1" operator="lessThanOrEqual">
      <formula>#REF!</formula>
    </cfRule>
    <cfRule type="cellIs" dxfId="1561" priority="1568" stopIfTrue="1" operator="between">
      <formula>#REF!</formula>
      <formula>#REF!</formula>
    </cfRule>
    <cfRule type="cellIs" dxfId="1560" priority="1569" stopIfTrue="1" operator="greaterThanOrEqual">
      <formula>#REF!</formula>
    </cfRule>
  </conditionalFormatting>
  <conditionalFormatting sqref="AU207:BB207">
    <cfRule type="cellIs" dxfId="1559" priority="1564" stopIfTrue="1" operator="lessThanOrEqual">
      <formula>$I$8</formula>
    </cfRule>
    <cfRule type="cellIs" dxfId="1558" priority="1565" stopIfTrue="1" operator="between">
      <formula>$I$8</formula>
      <formula>$J$8</formula>
    </cfRule>
    <cfRule type="cellIs" dxfId="1557" priority="1566" stopIfTrue="1" operator="greaterThanOrEqual">
      <formula>$J$8</formula>
    </cfRule>
  </conditionalFormatting>
  <conditionalFormatting sqref="AU207:BB207">
    <cfRule type="cellIs" dxfId="1556" priority="1561" stopIfTrue="1" operator="lessThanOrEqual">
      <formula>#REF!</formula>
    </cfRule>
    <cfRule type="cellIs" dxfId="1555" priority="1562" stopIfTrue="1" operator="between">
      <formula>#REF!</formula>
      <formula>#REF!</formula>
    </cfRule>
    <cfRule type="cellIs" dxfId="1554" priority="1563" stopIfTrue="1" operator="greaterThanOrEqual">
      <formula>#REF!</formula>
    </cfRule>
  </conditionalFormatting>
  <conditionalFormatting sqref="AU210:BB210">
    <cfRule type="cellIs" dxfId="1553" priority="1558" stopIfTrue="1" operator="lessThanOrEqual">
      <formula>$I$8</formula>
    </cfRule>
    <cfRule type="cellIs" dxfId="1552" priority="1559" stopIfTrue="1" operator="between">
      <formula>$I$8</formula>
      <formula>$J$8</formula>
    </cfRule>
    <cfRule type="cellIs" dxfId="1551" priority="1560" stopIfTrue="1" operator="greaterThanOrEqual">
      <formula>$J$8</formula>
    </cfRule>
  </conditionalFormatting>
  <conditionalFormatting sqref="AU210:BB210">
    <cfRule type="cellIs" dxfId="1550" priority="1555" stopIfTrue="1" operator="lessThanOrEqual">
      <formula>#REF!</formula>
    </cfRule>
    <cfRule type="cellIs" dxfId="1549" priority="1556" stopIfTrue="1" operator="between">
      <formula>#REF!</formula>
      <formula>#REF!</formula>
    </cfRule>
    <cfRule type="cellIs" dxfId="1548" priority="1557" stopIfTrue="1" operator="greaterThanOrEqual">
      <formula>#REF!</formula>
    </cfRule>
  </conditionalFormatting>
  <conditionalFormatting sqref="AU216:BB216">
    <cfRule type="cellIs" dxfId="1547" priority="1552" stopIfTrue="1" operator="lessThanOrEqual">
      <formula>$I$8</formula>
    </cfRule>
    <cfRule type="cellIs" dxfId="1546" priority="1553" stopIfTrue="1" operator="between">
      <formula>$I$8</formula>
      <formula>$J$8</formula>
    </cfRule>
    <cfRule type="cellIs" dxfId="1545" priority="1554" stopIfTrue="1" operator="greaterThanOrEqual">
      <formula>$J$8</formula>
    </cfRule>
  </conditionalFormatting>
  <conditionalFormatting sqref="AU216:BB216">
    <cfRule type="cellIs" dxfId="1544" priority="1549" stopIfTrue="1" operator="lessThanOrEqual">
      <formula>#REF!</formula>
    </cfRule>
    <cfRule type="cellIs" dxfId="1543" priority="1550" stopIfTrue="1" operator="between">
      <formula>#REF!</formula>
      <formula>#REF!</formula>
    </cfRule>
    <cfRule type="cellIs" dxfId="1542" priority="1551" stopIfTrue="1" operator="greaterThanOrEqual">
      <formula>#REF!</formula>
    </cfRule>
  </conditionalFormatting>
  <conditionalFormatting sqref="AU219:BB219">
    <cfRule type="cellIs" dxfId="1541" priority="1546" stopIfTrue="1" operator="lessThanOrEqual">
      <formula>$I$8</formula>
    </cfRule>
    <cfRule type="cellIs" dxfId="1540" priority="1547" stopIfTrue="1" operator="between">
      <formula>$I$8</formula>
      <formula>$J$8</formula>
    </cfRule>
    <cfRule type="cellIs" dxfId="1539" priority="1548" stopIfTrue="1" operator="greaterThanOrEqual">
      <formula>$J$8</formula>
    </cfRule>
  </conditionalFormatting>
  <conditionalFormatting sqref="AU219:BB219">
    <cfRule type="cellIs" dxfId="1538" priority="1543" stopIfTrue="1" operator="lessThanOrEqual">
      <formula>#REF!</formula>
    </cfRule>
    <cfRule type="cellIs" dxfId="1537" priority="1544" stopIfTrue="1" operator="between">
      <formula>#REF!</formula>
      <formula>#REF!</formula>
    </cfRule>
    <cfRule type="cellIs" dxfId="1536" priority="1545" stopIfTrue="1" operator="greaterThanOrEqual">
      <formula>#REF!</formula>
    </cfRule>
  </conditionalFormatting>
  <conditionalFormatting sqref="AU222:BB222">
    <cfRule type="cellIs" dxfId="1535" priority="1540" stopIfTrue="1" operator="lessThanOrEqual">
      <formula>$I$8</formula>
    </cfRule>
    <cfRule type="cellIs" dxfId="1534" priority="1541" stopIfTrue="1" operator="between">
      <formula>$I$8</formula>
      <formula>$J$8</formula>
    </cfRule>
    <cfRule type="cellIs" dxfId="1533" priority="1542" stopIfTrue="1" operator="greaterThanOrEqual">
      <formula>$J$8</formula>
    </cfRule>
  </conditionalFormatting>
  <conditionalFormatting sqref="AU222:BB222">
    <cfRule type="cellIs" dxfId="1532" priority="1537" stopIfTrue="1" operator="lessThanOrEqual">
      <formula>#REF!</formula>
    </cfRule>
    <cfRule type="cellIs" dxfId="1531" priority="1538" stopIfTrue="1" operator="between">
      <formula>#REF!</formula>
      <formula>#REF!</formula>
    </cfRule>
    <cfRule type="cellIs" dxfId="1530" priority="1539" stopIfTrue="1" operator="greaterThanOrEqual">
      <formula>#REF!</formula>
    </cfRule>
  </conditionalFormatting>
  <conditionalFormatting sqref="AU225:BB225">
    <cfRule type="cellIs" dxfId="1529" priority="1534" stopIfTrue="1" operator="lessThanOrEqual">
      <formula>$I$8</formula>
    </cfRule>
    <cfRule type="cellIs" dxfId="1528" priority="1535" stopIfTrue="1" operator="between">
      <formula>$I$8</formula>
      <formula>$J$8</formula>
    </cfRule>
    <cfRule type="cellIs" dxfId="1527" priority="1536" stopIfTrue="1" operator="greaterThanOrEqual">
      <formula>$J$8</formula>
    </cfRule>
  </conditionalFormatting>
  <conditionalFormatting sqref="AU225:BB225">
    <cfRule type="cellIs" dxfId="1526" priority="1531" stopIfTrue="1" operator="lessThanOrEqual">
      <formula>#REF!</formula>
    </cfRule>
    <cfRule type="cellIs" dxfId="1525" priority="1532" stopIfTrue="1" operator="between">
      <formula>#REF!</formula>
      <formula>#REF!</formula>
    </cfRule>
    <cfRule type="cellIs" dxfId="1524" priority="1533" stopIfTrue="1" operator="greaterThanOrEqual">
      <formula>#REF!</formula>
    </cfRule>
  </conditionalFormatting>
  <conditionalFormatting sqref="AV228:AX228 AZ228:BB228">
    <cfRule type="cellIs" dxfId="1523" priority="1528" stopIfTrue="1" operator="lessThanOrEqual">
      <formula>$I$8</formula>
    </cfRule>
    <cfRule type="cellIs" dxfId="1522" priority="1529" stopIfTrue="1" operator="between">
      <formula>$I$8</formula>
      <formula>$J$8</formula>
    </cfRule>
    <cfRule type="cellIs" dxfId="1521" priority="1530" stopIfTrue="1" operator="greaterThanOrEqual">
      <formula>$J$8</formula>
    </cfRule>
  </conditionalFormatting>
  <conditionalFormatting sqref="AV228:AX228 AZ228:BB228">
    <cfRule type="cellIs" dxfId="1520" priority="1525" stopIfTrue="1" operator="lessThanOrEqual">
      <formula>#REF!</formula>
    </cfRule>
    <cfRule type="cellIs" dxfId="1519" priority="1526" stopIfTrue="1" operator="between">
      <formula>#REF!</formula>
      <formula>#REF!</formula>
    </cfRule>
    <cfRule type="cellIs" dxfId="1518" priority="1527" stopIfTrue="1" operator="greaterThanOrEqual">
      <formula>#REF!</formula>
    </cfRule>
  </conditionalFormatting>
  <conditionalFormatting sqref="AU231:BB231">
    <cfRule type="cellIs" dxfId="1517" priority="1522" stopIfTrue="1" operator="lessThanOrEqual">
      <formula>$I$8</formula>
    </cfRule>
    <cfRule type="cellIs" dxfId="1516" priority="1523" stopIfTrue="1" operator="between">
      <formula>$I$8</formula>
      <formula>$J$8</formula>
    </cfRule>
    <cfRule type="cellIs" dxfId="1515" priority="1524" stopIfTrue="1" operator="greaterThanOrEqual">
      <formula>$J$8</formula>
    </cfRule>
  </conditionalFormatting>
  <conditionalFormatting sqref="AU231:BB231">
    <cfRule type="cellIs" dxfId="1514" priority="1519" stopIfTrue="1" operator="lessThanOrEqual">
      <formula>#REF!</formula>
    </cfRule>
    <cfRule type="cellIs" dxfId="1513" priority="1520" stopIfTrue="1" operator="between">
      <formula>#REF!</formula>
      <formula>#REF!</formula>
    </cfRule>
    <cfRule type="cellIs" dxfId="1512" priority="1521" stopIfTrue="1" operator="greaterThanOrEqual">
      <formula>#REF!</formula>
    </cfRule>
  </conditionalFormatting>
  <conditionalFormatting sqref="AV234:AX234 AZ234:BB234">
    <cfRule type="cellIs" dxfId="1511" priority="1516" stopIfTrue="1" operator="lessThanOrEqual">
      <formula>$I$8</formula>
    </cfRule>
    <cfRule type="cellIs" dxfId="1510" priority="1517" stopIfTrue="1" operator="between">
      <formula>$I$8</formula>
      <formula>$J$8</formula>
    </cfRule>
    <cfRule type="cellIs" dxfId="1509" priority="1518" stopIfTrue="1" operator="greaterThanOrEqual">
      <formula>$J$8</formula>
    </cfRule>
  </conditionalFormatting>
  <conditionalFormatting sqref="AV234:AX234 AZ234:BB234">
    <cfRule type="cellIs" dxfId="1508" priority="1513" stopIfTrue="1" operator="lessThanOrEqual">
      <formula>#REF!</formula>
    </cfRule>
    <cfRule type="cellIs" dxfId="1507" priority="1514" stopIfTrue="1" operator="between">
      <formula>#REF!</formula>
      <formula>#REF!</formula>
    </cfRule>
    <cfRule type="cellIs" dxfId="1506" priority="1515" stopIfTrue="1" operator="greaterThanOrEqual">
      <formula>#REF!</formula>
    </cfRule>
  </conditionalFormatting>
  <conditionalFormatting sqref="AU237:AV237 AY237:AZ237">
    <cfRule type="cellIs" dxfId="1505" priority="1510" stopIfTrue="1" operator="lessThanOrEqual">
      <formula>$I$8</formula>
    </cfRule>
    <cfRule type="cellIs" dxfId="1504" priority="1511" stopIfTrue="1" operator="between">
      <formula>$I$8</formula>
      <formula>$J$8</formula>
    </cfRule>
    <cfRule type="cellIs" dxfId="1503" priority="1512" stopIfTrue="1" operator="greaterThanOrEqual">
      <formula>$J$8</formula>
    </cfRule>
  </conditionalFormatting>
  <conditionalFormatting sqref="AU237:AV237 AY237:AZ237">
    <cfRule type="cellIs" dxfId="1502" priority="1507" stopIfTrue="1" operator="lessThanOrEqual">
      <formula>#REF!</formula>
    </cfRule>
    <cfRule type="cellIs" dxfId="1501" priority="1508" stopIfTrue="1" operator="between">
      <formula>#REF!</formula>
      <formula>#REF!</formula>
    </cfRule>
    <cfRule type="cellIs" dxfId="1500" priority="1509" stopIfTrue="1" operator="greaterThanOrEqual">
      <formula>#REF!</formula>
    </cfRule>
  </conditionalFormatting>
  <conditionalFormatting sqref="AU243:BB243">
    <cfRule type="cellIs" dxfId="1499" priority="1504" stopIfTrue="1" operator="lessThanOrEqual">
      <formula>$I$8</formula>
    </cfRule>
    <cfRule type="cellIs" dxfId="1498" priority="1505" stopIfTrue="1" operator="between">
      <formula>$I$8</formula>
      <formula>$J$8</formula>
    </cfRule>
    <cfRule type="cellIs" dxfId="1497" priority="1506" stopIfTrue="1" operator="greaterThanOrEqual">
      <formula>$J$8</formula>
    </cfRule>
  </conditionalFormatting>
  <conditionalFormatting sqref="AU243:BB243">
    <cfRule type="cellIs" dxfId="1496" priority="1501" stopIfTrue="1" operator="lessThanOrEqual">
      <formula>#REF!</formula>
    </cfRule>
    <cfRule type="cellIs" dxfId="1495" priority="1502" stopIfTrue="1" operator="between">
      <formula>#REF!</formula>
      <formula>#REF!</formula>
    </cfRule>
    <cfRule type="cellIs" dxfId="1494" priority="1503" stopIfTrue="1" operator="greaterThanOrEqual">
      <formula>#REF!</formula>
    </cfRule>
  </conditionalFormatting>
  <conditionalFormatting sqref="AU249:BB249">
    <cfRule type="cellIs" dxfId="1493" priority="1498" stopIfTrue="1" operator="lessThanOrEqual">
      <formula>$I$8</formula>
    </cfRule>
    <cfRule type="cellIs" dxfId="1492" priority="1499" stopIfTrue="1" operator="between">
      <formula>$I$8</formula>
      <formula>$J$8</formula>
    </cfRule>
    <cfRule type="cellIs" dxfId="1491" priority="1500" stopIfTrue="1" operator="greaterThanOrEqual">
      <formula>$J$8</formula>
    </cfRule>
  </conditionalFormatting>
  <conditionalFormatting sqref="AU249:BB249">
    <cfRule type="cellIs" dxfId="1490" priority="1495" stopIfTrue="1" operator="lessThanOrEqual">
      <formula>#REF!</formula>
    </cfRule>
    <cfRule type="cellIs" dxfId="1489" priority="1496" stopIfTrue="1" operator="between">
      <formula>#REF!</formula>
      <formula>#REF!</formula>
    </cfRule>
    <cfRule type="cellIs" dxfId="1488" priority="1497" stopIfTrue="1" operator="greaterThanOrEqual">
      <formula>#REF!</formula>
    </cfRule>
  </conditionalFormatting>
  <conditionalFormatting sqref="AU252:BB252">
    <cfRule type="cellIs" dxfId="1487" priority="1492" stopIfTrue="1" operator="lessThanOrEqual">
      <formula>$I$8</formula>
    </cfRule>
    <cfRule type="cellIs" dxfId="1486" priority="1493" stopIfTrue="1" operator="between">
      <formula>$I$8</formula>
      <formula>$J$8</formula>
    </cfRule>
    <cfRule type="cellIs" dxfId="1485" priority="1494" stopIfTrue="1" operator="greaterThanOrEqual">
      <formula>$J$8</formula>
    </cfRule>
  </conditionalFormatting>
  <conditionalFormatting sqref="AU252:BB252">
    <cfRule type="cellIs" dxfId="1484" priority="1489" stopIfTrue="1" operator="lessThanOrEqual">
      <formula>#REF!</formula>
    </cfRule>
    <cfRule type="cellIs" dxfId="1483" priority="1490" stopIfTrue="1" operator="between">
      <formula>#REF!</formula>
      <formula>#REF!</formula>
    </cfRule>
    <cfRule type="cellIs" dxfId="1482" priority="1491" stopIfTrue="1" operator="greaterThanOrEqual">
      <formula>#REF!</formula>
    </cfRule>
  </conditionalFormatting>
  <conditionalFormatting sqref="AU213:BB213">
    <cfRule type="cellIs" dxfId="1481" priority="1486" stopIfTrue="1" operator="lessThanOrEqual">
      <formula>$I$8</formula>
    </cfRule>
    <cfRule type="cellIs" dxfId="1480" priority="1487" stopIfTrue="1" operator="between">
      <formula>$I$8</formula>
      <formula>$J$8</formula>
    </cfRule>
    <cfRule type="cellIs" dxfId="1479" priority="1488" stopIfTrue="1" operator="greaterThanOrEqual">
      <formula>$J$8</formula>
    </cfRule>
  </conditionalFormatting>
  <conditionalFormatting sqref="AU213:BB213">
    <cfRule type="cellIs" dxfId="1478" priority="1483" stopIfTrue="1" operator="lessThanOrEqual">
      <formula>#REF!</formula>
    </cfRule>
    <cfRule type="cellIs" dxfId="1477" priority="1484" stopIfTrue="1" operator="between">
      <formula>#REF!</formula>
      <formula>#REF!</formula>
    </cfRule>
    <cfRule type="cellIs" dxfId="1476" priority="1485" stopIfTrue="1" operator="greaterThanOrEqual">
      <formula>#REF!</formula>
    </cfRule>
  </conditionalFormatting>
  <conditionalFormatting sqref="AA248:AC248">
    <cfRule type="cellIs" dxfId="1475" priority="1474" stopIfTrue="1" operator="lessThanOrEqual">
      <formula>$I$8</formula>
    </cfRule>
    <cfRule type="cellIs" dxfId="1474" priority="1475" stopIfTrue="1" operator="between">
      <formula>$I$8</formula>
      <formula>$J$8</formula>
    </cfRule>
    <cfRule type="cellIs" dxfId="1473" priority="1476" stopIfTrue="1" operator="greaterThanOrEqual">
      <formula>$J$8</formula>
    </cfRule>
  </conditionalFormatting>
  <conditionalFormatting sqref="AA248:AC248">
    <cfRule type="cellIs" dxfId="1472" priority="1471" stopIfTrue="1" operator="lessThanOrEqual">
      <formula>#REF!</formula>
    </cfRule>
    <cfRule type="cellIs" dxfId="1471" priority="1472" stopIfTrue="1" operator="between">
      <formula>#REF!</formula>
      <formula>#REF!</formula>
    </cfRule>
    <cfRule type="cellIs" dxfId="1470" priority="1473" stopIfTrue="1" operator="greaterThanOrEqual">
      <formula>#REF!</formula>
    </cfRule>
  </conditionalFormatting>
  <conditionalFormatting sqref="W248:Y248">
    <cfRule type="cellIs" dxfId="1469" priority="1480" stopIfTrue="1" operator="lessThanOrEqual">
      <formula>$I$8</formula>
    </cfRule>
    <cfRule type="cellIs" dxfId="1468" priority="1481" stopIfTrue="1" operator="between">
      <formula>$I$8</formula>
      <formula>$J$8</formula>
    </cfRule>
    <cfRule type="cellIs" dxfId="1467" priority="1482" stopIfTrue="1" operator="greaterThanOrEqual">
      <formula>$J$8</formula>
    </cfRule>
  </conditionalFormatting>
  <conditionalFormatting sqref="W248:Y248">
    <cfRule type="cellIs" dxfId="1466" priority="1477" stopIfTrue="1" operator="lessThanOrEqual">
      <formula>#REF!</formula>
    </cfRule>
    <cfRule type="cellIs" dxfId="1465" priority="1478" stopIfTrue="1" operator="between">
      <formula>#REF!</formula>
      <formula>#REF!</formula>
    </cfRule>
    <cfRule type="cellIs" dxfId="1464" priority="1479" stopIfTrue="1" operator="greaterThanOrEqual">
      <formula>#REF!</formula>
    </cfRule>
  </conditionalFormatting>
  <conditionalFormatting sqref="AU240:AW240 AY240:BA240">
    <cfRule type="cellIs" dxfId="1463" priority="1468" stopIfTrue="1" operator="lessThanOrEqual">
      <formula>$I$8</formula>
    </cfRule>
    <cfRule type="cellIs" dxfId="1462" priority="1469" stopIfTrue="1" operator="between">
      <formula>$I$8</formula>
      <formula>$J$8</formula>
    </cfRule>
    <cfRule type="cellIs" dxfId="1461" priority="1470" stopIfTrue="1" operator="greaterThanOrEqual">
      <formula>$J$8</formula>
    </cfRule>
  </conditionalFormatting>
  <conditionalFormatting sqref="AU240:AW240 AY240:BA240">
    <cfRule type="cellIs" dxfId="1460" priority="1465" stopIfTrue="1" operator="lessThanOrEqual">
      <formula>#REF!</formula>
    </cfRule>
    <cfRule type="cellIs" dxfId="1459" priority="1466" stopIfTrue="1" operator="between">
      <formula>#REF!</formula>
      <formula>#REF!</formula>
    </cfRule>
    <cfRule type="cellIs" dxfId="1458" priority="1467" stopIfTrue="1" operator="greaterThanOrEqual">
      <formula>#REF!</formula>
    </cfRule>
  </conditionalFormatting>
  <conditionalFormatting sqref="AV246:AX246 AZ246:BB246">
    <cfRule type="cellIs" dxfId="1457" priority="1462" stopIfTrue="1" operator="lessThanOrEqual">
      <formula>$I$8</formula>
    </cfRule>
    <cfRule type="cellIs" dxfId="1456" priority="1463" stopIfTrue="1" operator="between">
      <formula>$I$8</formula>
      <formula>$J$8</formula>
    </cfRule>
    <cfRule type="cellIs" dxfId="1455" priority="1464" stopIfTrue="1" operator="greaterThanOrEqual">
      <formula>$J$8</formula>
    </cfRule>
  </conditionalFormatting>
  <conditionalFormatting sqref="AV246:AX246 AZ246:BB246">
    <cfRule type="cellIs" dxfId="1454" priority="1459" stopIfTrue="1" operator="lessThanOrEqual">
      <formula>#REF!</formula>
    </cfRule>
    <cfRule type="cellIs" dxfId="1453" priority="1460" stopIfTrue="1" operator="between">
      <formula>#REF!</formula>
      <formula>#REF!</formula>
    </cfRule>
    <cfRule type="cellIs" dxfId="1452" priority="1461" stopIfTrue="1" operator="greaterThanOrEqual">
      <formula>#REF!</formula>
    </cfRule>
  </conditionalFormatting>
  <conditionalFormatting sqref="AU268:BB268">
    <cfRule type="cellIs" dxfId="1451" priority="1456" stopIfTrue="1" operator="lessThanOrEqual">
      <formula>$I$8</formula>
    </cfRule>
    <cfRule type="cellIs" dxfId="1450" priority="1457" stopIfTrue="1" operator="between">
      <formula>$I$8</formula>
      <formula>$J$8</formula>
    </cfRule>
    <cfRule type="cellIs" dxfId="1449" priority="1458" stopIfTrue="1" operator="greaterThanOrEqual">
      <formula>$J$8</formula>
    </cfRule>
  </conditionalFormatting>
  <conditionalFormatting sqref="AU268:BB268">
    <cfRule type="cellIs" dxfId="1448" priority="1453" stopIfTrue="1" operator="lessThanOrEqual">
      <formula>#REF!</formula>
    </cfRule>
    <cfRule type="cellIs" dxfId="1447" priority="1454" stopIfTrue="1" operator="between">
      <formula>#REF!</formula>
      <formula>#REF!</formula>
    </cfRule>
    <cfRule type="cellIs" dxfId="1446" priority="1455" stopIfTrue="1" operator="greaterThanOrEqual">
      <formula>#REF!</formula>
    </cfRule>
  </conditionalFormatting>
  <conditionalFormatting sqref="AU286:BB286">
    <cfRule type="cellIs" dxfId="1445" priority="1450" stopIfTrue="1" operator="lessThanOrEqual">
      <formula>$I$8</formula>
    </cfRule>
    <cfRule type="cellIs" dxfId="1444" priority="1451" stopIfTrue="1" operator="between">
      <formula>$I$8</formula>
      <formula>$J$8</formula>
    </cfRule>
    <cfRule type="cellIs" dxfId="1443" priority="1452" stopIfTrue="1" operator="greaterThanOrEqual">
      <formula>$J$8</formula>
    </cfRule>
  </conditionalFormatting>
  <conditionalFormatting sqref="AU286:BB286">
    <cfRule type="cellIs" dxfId="1442" priority="1447" stopIfTrue="1" operator="lessThanOrEqual">
      <formula>#REF!</formula>
    </cfRule>
    <cfRule type="cellIs" dxfId="1441" priority="1448" stopIfTrue="1" operator="between">
      <formula>#REF!</formula>
      <formula>#REF!</formula>
    </cfRule>
    <cfRule type="cellIs" dxfId="1440" priority="1449" stopIfTrue="1" operator="greaterThanOrEqual">
      <formula>#REF!</formula>
    </cfRule>
  </conditionalFormatting>
  <conditionalFormatting sqref="AU289:BB289">
    <cfRule type="cellIs" dxfId="1439" priority="1444" stopIfTrue="1" operator="lessThanOrEqual">
      <formula>$I$8</formula>
    </cfRule>
    <cfRule type="cellIs" dxfId="1438" priority="1445" stopIfTrue="1" operator="between">
      <formula>$I$8</formula>
      <formula>$J$8</formula>
    </cfRule>
    <cfRule type="cellIs" dxfId="1437" priority="1446" stopIfTrue="1" operator="greaterThanOrEqual">
      <formula>$J$8</formula>
    </cfRule>
  </conditionalFormatting>
  <conditionalFormatting sqref="AU289:BB289">
    <cfRule type="cellIs" dxfId="1436" priority="1441" stopIfTrue="1" operator="lessThanOrEqual">
      <formula>#REF!</formula>
    </cfRule>
    <cfRule type="cellIs" dxfId="1435" priority="1442" stopIfTrue="1" operator="between">
      <formula>#REF!</formula>
      <formula>#REF!</formula>
    </cfRule>
    <cfRule type="cellIs" dxfId="1434" priority="1443" stopIfTrue="1" operator="greaterThanOrEqual">
      <formula>#REF!</formula>
    </cfRule>
  </conditionalFormatting>
  <conditionalFormatting sqref="AU292:BB292">
    <cfRule type="cellIs" dxfId="1433" priority="1438" stopIfTrue="1" operator="lessThanOrEqual">
      <formula>$I$8</formula>
    </cfRule>
    <cfRule type="cellIs" dxfId="1432" priority="1439" stopIfTrue="1" operator="between">
      <formula>$I$8</formula>
      <formula>$J$8</formula>
    </cfRule>
    <cfRule type="cellIs" dxfId="1431" priority="1440" stopIfTrue="1" operator="greaterThanOrEqual">
      <formula>$J$8</formula>
    </cfRule>
  </conditionalFormatting>
  <conditionalFormatting sqref="AU292:BB292">
    <cfRule type="cellIs" dxfId="1430" priority="1435" stopIfTrue="1" operator="lessThanOrEqual">
      <formula>#REF!</formula>
    </cfRule>
    <cfRule type="cellIs" dxfId="1429" priority="1436" stopIfTrue="1" operator="between">
      <formula>#REF!</formula>
      <formula>#REF!</formula>
    </cfRule>
    <cfRule type="cellIs" dxfId="1428" priority="1437" stopIfTrue="1" operator="greaterThanOrEqual">
      <formula>#REF!</formula>
    </cfRule>
  </conditionalFormatting>
  <conditionalFormatting sqref="AU301:BB301">
    <cfRule type="cellIs" dxfId="1427" priority="1432" stopIfTrue="1" operator="lessThanOrEqual">
      <formula>$I$8</formula>
    </cfRule>
    <cfRule type="cellIs" dxfId="1426" priority="1433" stopIfTrue="1" operator="between">
      <formula>$I$8</formula>
      <formula>$J$8</formula>
    </cfRule>
    <cfRule type="cellIs" dxfId="1425" priority="1434" stopIfTrue="1" operator="greaterThanOrEqual">
      <formula>$J$8</formula>
    </cfRule>
  </conditionalFormatting>
  <conditionalFormatting sqref="AU301:BB301">
    <cfRule type="cellIs" dxfId="1424" priority="1429" stopIfTrue="1" operator="lessThanOrEqual">
      <formula>#REF!</formula>
    </cfRule>
    <cfRule type="cellIs" dxfId="1423" priority="1430" stopIfTrue="1" operator="between">
      <formula>#REF!</formula>
      <formula>#REF!</formula>
    </cfRule>
    <cfRule type="cellIs" dxfId="1422" priority="1431" stopIfTrue="1" operator="greaterThanOrEqual">
      <formula>#REF!</formula>
    </cfRule>
  </conditionalFormatting>
  <conditionalFormatting sqref="AU271:BB271">
    <cfRule type="cellIs" dxfId="1421" priority="1426" stopIfTrue="1" operator="lessThanOrEqual">
      <formula>$I$8</formula>
    </cfRule>
    <cfRule type="cellIs" dxfId="1420" priority="1427" stopIfTrue="1" operator="between">
      <formula>$I$8</formula>
      <formula>$J$8</formula>
    </cfRule>
    <cfRule type="cellIs" dxfId="1419" priority="1428" stopIfTrue="1" operator="greaterThanOrEqual">
      <formula>$J$8</formula>
    </cfRule>
  </conditionalFormatting>
  <conditionalFormatting sqref="AU271:BB271">
    <cfRule type="cellIs" dxfId="1418" priority="1423" stopIfTrue="1" operator="lessThanOrEqual">
      <formula>#REF!</formula>
    </cfRule>
    <cfRule type="cellIs" dxfId="1417" priority="1424" stopIfTrue="1" operator="between">
      <formula>#REF!</formula>
      <formula>#REF!</formula>
    </cfRule>
    <cfRule type="cellIs" dxfId="1416" priority="1425" stopIfTrue="1" operator="greaterThanOrEqual">
      <formula>#REF!</formula>
    </cfRule>
  </conditionalFormatting>
  <conditionalFormatting sqref="AU274:BB274">
    <cfRule type="cellIs" dxfId="1415" priority="1420" stopIfTrue="1" operator="lessThanOrEqual">
      <formula>$I$8</formula>
    </cfRule>
    <cfRule type="cellIs" dxfId="1414" priority="1421" stopIfTrue="1" operator="between">
      <formula>$I$8</formula>
      <formula>$J$8</formula>
    </cfRule>
    <cfRule type="cellIs" dxfId="1413" priority="1422" stopIfTrue="1" operator="greaterThanOrEqual">
      <formula>$J$8</formula>
    </cfRule>
  </conditionalFormatting>
  <conditionalFormatting sqref="AU274:BB274">
    <cfRule type="cellIs" dxfId="1412" priority="1417" stopIfTrue="1" operator="lessThanOrEqual">
      <formula>#REF!</formula>
    </cfRule>
    <cfRule type="cellIs" dxfId="1411" priority="1418" stopIfTrue="1" operator="between">
      <formula>#REF!</formula>
      <formula>#REF!</formula>
    </cfRule>
    <cfRule type="cellIs" dxfId="1410" priority="1419" stopIfTrue="1" operator="greaterThanOrEqual">
      <formula>#REF!</formula>
    </cfRule>
  </conditionalFormatting>
  <conditionalFormatting sqref="AX277 BB277">
    <cfRule type="cellIs" dxfId="1409" priority="1414" stopIfTrue="1" operator="lessThanOrEqual">
      <formula>$I$8</formula>
    </cfRule>
    <cfRule type="cellIs" dxfId="1408" priority="1415" stopIfTrue="1" operator="between">
      <formula>$I$8</formula>
      <formula>$J$8</formula>
    </cfRule>
    <cfRule type="cellIs" dxfId="1407" priority="1416" stopIfTrue="1" operator="greaterThanOrEqual">
      <formula>$J$8</formula>
    </cfRule>
  </conditionalFormatting>
  <conditionalFormatting sqref="AX277 BB277">
    <cfRule type="cellIs" dxfId="1406" priority="1411" stopIfTrue="1" operator="lessThanOrEqual">
      <formula>#REF!</formula>
    </cfRule>
    <cfRule type="cellIs" dxfId="1405" priority="1412" stopIfTrue="1" operator="between">
      <formula>#REF!</formula>
      <formula>#REF!</formula>
    </cfRule>
    <cfRule type="cellIs" dxfId="1404" priority="1413" stopIfTrue="1" operator="greaterThanOrEqual">
      <formula>#REF!</formula>
    </cfRule>
  </conditionalFormatting>
  <conditionalFormatting sqref="AU280:BB280">
    <cfRule type="cellIs" dxfId="1403" priority="1408" stopIfTrue="1" operator="lessThanOrEqual">
      <formula>$I$8</formula>
    </cfRule>
    <cfRule type="cellIs" dxfId="1402" priority="1409" stopIfTrue="1" operator="between">
      <formula>$I$8</formula>
      <formula>$J$8</formula>
    </cfRule>
    <cfRule type="cellIs" dxfId="1401" priority="1410" stopIfTrue="1" operator="greaterThanOrEqual">
      <formula>$J$8</formula>
    </cfRule>
  </conditionalFormatting>
  <conditionalFormatting sqref="AU280:BB280">
    <cfRule type="cellIs" dxfId="1400" priority="1405" stopIfTrue="1" operator="lessThanOrEqual">
      <formula>#REF!</formula>
    </cfRule>
    <cfRule type="cellIs" dxfId="1399" priority="1406" stopIfTrue="1" operator="between">
      <formula>#REF!</formula>
      <formula>#REF!</formula>
    </cfRule>
    <cfRule type="cellIs" dxfId="1398" priority="1407" stopIfTrue="1" operator="greaterThanOrEqual">
      <formula>#REF!</formula>
    </cfRule>
  </conditionalFormatting>
  <conditionalFormatting sqref="AU283:BB283">
    <cfRule type="cellIs" dxfId="1397" priority="1402" stopIfTrue="1" operator="lessThanOrEqual">
      <formula>$I$8</formula>
    </cfRule>
    <cfRule type="cellIs" dxfId="1396" priority="1403" stopIfTrue="1" operator="between">
      <formula>$I$8</formula>
      <formula>$J$8</formula>
    </cfRule>
    <cfRule type="cellIs" dxfId="1395" priority="1404" stopIfTrue="1" operator="greaterThanOrEqual">
      <formula>$J$8</formula>
    </cfRule>
  </conditionalFormatting>
  <conditionalFormatting sqref="AU283:BB283">
    <cfRule type="cellIs" dxfId="1394" priority="1399" stopIfTrue="1" operator="lessThanOrEqual">
      <formula>#REF!</formula>
    </cfRule>
    <cfRule type="cellIs" dxfId="1393" priority="1400" stopIfTrue="1" operator="between">
      <formula>#REF!</formula>
      <formula>#REF!</formula>
    </cfRule>
    <cfRule type="cellIs" dxfId="1392" priority="1401" stopIfTrue="1" operator="greaterThanOrEqual">
      <formula>#REF!</formula>
    </cfRule>
  </conditionalFormatting>
  <conditionalFormatting sqref="V282:Y282">
    <cfRule type="cellIs" dxfId="1391" priority="1396" stopIfTrue="1" operator="lessThanOrEqual">
      <formula>$I$8</formula>
    </cfRule>
    <cfRule type="cellIs" dxfId="1390" priority="1397" stopIfTrue="1" operator="between">
      <formula>$I$8</formula>
      <formula>$J$8</formula>
    </cfRule>
    <cfRule type="cellIs" dxfId="1389" priority="1398" stopIfTrue="1" operator="greaterThanOrEqual">
      <formula>$J$8</formula>
    </cfRule>
  </conditionalFormatting>
  <conditionalFormatting sqref="V282:Y282">
    <cfRule type="cellIs" dxfId="1388" priority="1393" stopIfTrue="1" operator="lessThanOrEqual">
      <formula>#REF!</formula>
    </cfRule>
    <cfRule type="cellIs" dxfId="1387" priority="1394" stopIfTrue="1" operator="between">
      <formula>#REF!</formula>
      <formula>#REF!</formula>
    </cfRule>
    <cfRule type="cellIs" dxfId="1386" priority="1395" stopIfTrue="1" operator="greaterThanOrEqual">
      <formula>#REF!</formula>
    </cfRule>
  </conditionalFormatting>
  <conditionalFormatting sqref="Z282:AC282">
    <cfRule type="cellIs" dxfId="1385" priority="1390" stopIfTrue="1" operator="lessThanOrEqual">
      <formula>$I$8</formula>
    </cfRule>
    <cfRule type="cellIs" dxfId="1384" priority="1391" stopIfTrue="1" operator="between">
      <formula>$I$8</formula>
      <formula>$J$8</formula>
    </cfRule>
    <cfRule type="cellIs" dxfId="1383" priority="1392" stopIfTrue="1" operator="greaterThanOrEqual">
      <formula>$J$8</formula>
    </cfRule>
  </conditionalFormatting>
  <conditionalFormatting sqref="Z282:AC282">
    <cfRule type="cellIs" dxfId="1382" priority="1387" stopIfTrue="1" operator="lessThanOrEqual">
      <formula>#REF!</formula>
    </cfRule>
    <cfRule type="cellIs" dxfId="1381" priority="1388" stopIfTrue="1" operator="between">
      <formula>#REF!</formula>
      <formula>#REF!</formula>
    </cfRule>
    <cfRule type="cellIs" dxfId="1380" priority="1389" stopIfTrue="1" operator="greaterThanOrEqual">
      <formula>#REF!</formula>
    </cfRule>
  </conditionalFormatting>
  <conditionalFormatting sqref="V285:Y285">
    <cfRule type="cellIs" dxfId="1379" priority="1384" stopIfTrue="1" operator="lessThanOrEqual">
      <formula>$I$8</formula>
    </cfRule>
    <cfRule type="cellIs" dxfId="1378" priority="1385" stopIfTrue="1" operator="between">
      <formula>$I$8</formula>
      <formula>$J$8</formula>
    </cfRule>
    <cfRule type="cellIs" dxfId="1377" priority="1386" stopIfTrue="1" operator="greaterThanOrEqual">
      <formula>$J$8</formula>
    </cfRule>
  </conditionalFormatting>
  <conditionalFormatting sqref="V285:Y285">
    <cfRule type="cellIs" dxfId="1376" priority="1381" stopIfTrue="1" operator="lessThanOrEqual">
      <formula>#REF!</formula>
    </cfRule>
    <cfRule type="cellIs" dxfId="1375" priority="1382" stopIfTrue="1" operator="between">
      <formula>#REF!</formula>
      <formula>#REF!</formula>
    </cfRule>
    <cfRule type="cellIs" dxfId="1374" priority="1383" stopIfTrue="1" operator="greaterThanOrEqual">
      <formula>#REF!</formula>
    </cfRule>
  </conditionalFormatting>
  <conditionalFormatting sqref="Z285:AC285">
    <cfRule type="cellIs" dxfId="1373" priority="1378" stopIfTrue="1" operator="lessThanOrEqual">
      <formula>$I$8</formula>
    </cfRule>
    <cfRule type="cellIs" dxfId="1372" priority="1379" stopIfTrue="1" operator="between">
      <formula>$I$8</formula>
      <formula>$J$8</formula>
    </cfRule>
    <cfRule type="cellIs" dxfId="1371" priority="1380" stopIfTrue="1" operator="greaterThanOrEqual">
      <formula>$J$8</formula>
    </cfRule>
  </conditionalFormatting>
  <conditionalFormatting sqref="Z285:AC285">
    <cfRule type="cellIs" dxfId="1370" priority="1375" stopIfTrue="1" operator="lessThanOrEqual">
      <formula>#REF!</formula>
    </cfRule>
    <cfRule type="cellIs" dxfId="1369" priority="1376" stopIfTrue="1" operator="between">
      <formula>#REF!</formula>
      <formula>#REF!</formula>
    </cfRule>
    <cfRule type="cellIs" dxfId="1368" priority="1377" stopIfTrue="1" operator="greaterThanOrEqual">
      <formula>#REF!</formula>
    </cfRule>
  </conditionalFormatting>
  <conditionalFormatting sqref="V288:Y288">
    <cfRule type="cellIs" dxfId="1367" priority="1372" stopIfTrue="1" operator="lessThanOrEqual">
      <formula>$I$8</formula>
    </cfRule>
    <cfRule type="cellIs" dxfId="1366" priority="1373" stopIfTrue="1" operator="between">
      <formula>$I$8</formula>
      <formula>$J$8</formula>
    </cfRule>
    <cfRule type="cellIs" dxfId="1365" priority="1374" stopIfTrue="1" operator="greaterThanOrEqual">
      <formula>$J$8</formula>
    </cfRule>
  </conditionalFormatting>
  <conditionalFormatting sqref="V288:Y288">
    <cfRule type="cellIs" dxfId="1364" priority="1369" stopIfTrue="1" operator="lessThanOrEqual">
      <formula>#REF!</formula>
    </cfRule>
    <cfRule type="cellIs" dxfId="1363" priority="1370" stopIfTrue="1" operator="between">
      <formula>#REF!</formula>
      <formula>#REF!</formula>
    </cfRule>
    <cfRule type="cellIs" dxfId="1362" priority="1371" stopIfTrue="1" operator="greaterThanOrEqual">
      <formula>#REF!</formula>
    </cfRule>
  </conditionalFormatting>
  <conditionalFormatting sqref="Z288:AC288">
    <cfRule type="cellIs" dxfId="1361" priority="1366" stopIfTrue="1" operator="lessThanOrEqual">
      <formula>$I$8</formula>
    </cfRule>
    <cfRule type="cellIs" dxfId="1360" priority="1367" stopIfTrue="1" operator="between">
      <formula>$I$8</formula>
      <formula>$J$8</formula>
    </cfRule>
    <cfRule type="cellIs" dxfId="1359" priority="1368" stopIfTrue="1" operator="greaterThanOrEqual">
      <formula>$J$8</formula>
    </cfRule>
  </conditionalFormatting>
  <conditionalFormatting sqref="Z288:AC288">
    <cfRule type="cellIs" dxfId="1358" priority="1363" stopIfTrue="1" operator="lessThanOrEqual">
      <formula>#REF!</formula>
    </cfRule>
    <cfRule type="cellIs" dxfId="1357" priority="1364" stopIfTrue="1" operator="between">
      <formula>#REF!</formula>
      <formula>#REF!</formula>
    </cfRule>
    <cfRule type="cellIs" dxfId="1356" priority="1365" stopIfTrue="1" operator="greaterThanOrEqual">
      <formula>#REF!</formula>
    </cfRule>
  </conditionalFormatting>
  <conditionalFormatting sqref="V291:Y291">
    <cfRule type="cellIs" dxfId="1355" priority="1360" stopIfTrue="1" operator="lessThanOrEqual">
      <formula>$I$8</formula>
    </cfRule>
    <cfRule type="cellIs" dxfId="1354" priority="1361" stopIfTrue="1" operator="between">
      <formula>$I$8</formula>
      <formula>$J$8</formula>
    </cfRule>
    <cfRule type="cellIs" dxfId="1353" priority="1362" stopIfTrue="1" operator="greaterThanOrEqual">
      <formula>$J$8</formula>
    </cfRule>
  </conditionalFormatting>
  <conditionalFormatting sqref="V291:Y291">
    <cfRule type="cellIs" dxfId="1352" priority="1357" stopIfTrue="1" operator="lessThanOrEqual">
      <formula>#REF!</formula>
    </cfRule>
    <cfRule type="cellIs" dxfId="1351" priority="1358" stopIfTrue="1" operator="between">
      <formula>#REF!</formula>
      <formula>#REF!</formula>
    </cfRule>
    <cfRule type="cellIs" dxfId="1350" priority="1359" stopIfTrue="1" operator="greaterThanOrEqual">
      <formula>#REF!</formula>
    </cfRule>
  </conditionalFormatting>
  <conditionalFormatting sqref="Z291:AC291">
    <cfRule type="cellIs" dxfId="1349" priority="1354" stopIfTrue="1" operator="lessThanOrEqual">
      <formula>$I$8</formula>
    </cfRule>
    <cfRule type="cellIs" dxfId="1348" priority="1355" stopIfTrue="1" operator="between">
      <formula>$I$8</formula>
      <formula>$J$8</formula>
    </cfRule>
    <cfRule type="cellIs" dxfId="1347" priority="1356" stopIfTrue="1" operator="greaterThanOrEqual">
      <formula>$J$8</formula>
    </cfRule>
  </conditionalFormatting>
  <conditionalFormatting sqref="Z291:AC291">
    <cfRule type="cellIs" dxfId="1346" priority="1351" stopIfTrue="1" operator="lessThanOrEqual">
      <formula>#REF!</formula>
    </cfRule>
    <cfRule type="cellIs" dxfId="1345" priority="1352" stopIfTrue="1" operator="between">
      <formula>#REF!</formula>
      <formula>#REF!</formula>
    </cfRule>
    <cfRule type="cellIs" dxfId="1344" priority="1353" stopIfTrue="1" operator="greaterThanOrEqual">
      <formula>#REF!</formula>
    </cfRule>
  </conditionalFormatting>
  <conditionalFormatting sqref="V294:Y294">
    <cfRule type="cellIs" dxfId="1343" priority="1348" stopIfTrue="1" operator="lessThanOrEqual">
      <formula>$I$8</formula>
    </cfRule>
    <cfRule type="cellIs" dxfId="1342" priority="1349" stopIfTrue="1" operator="between">
      <formula>$I$8</formula>
      <formula>$J$8</formula>
    </cfRule>
    <cfRule type="cellIs" dxfId="1341" priority="1350" stopIfTrue="1" operator="greaterThanOrEqual">
      <formula>$J$8</formula>
    </cfRule>
  </conditionalFormatting>
  <conditionalFormatting sqref="V294:Y294">
    <cfRule type="cellIs" dxfId="1340" priority="1345" stopIfTrue="1" operator="lessThanOrEqual">
      <formula>#REF!</formula>
    </cfRule>
    <cfRule type="cellIs" dxfId="1339" priority="1346" stopIfTrue="1" operator="between">
      <formula>#REF!</formula>
      <formula>#REF!</formula>
    </cfRule>
    <cfRule type="cellIs" dxfId="1338" priority="1347" stopIfTrue="1" operator="greaterThanOrEqual">
      <formula>#REF!</formula>
    </cfRule>
  </conditionalFormatting>
  <conditionalFormatting sqref="Z294:AC294">
    <cfRule type="cellIs" dxfId="1337" priority="1342" stopIfTrue="1" operator="lessThanOrEqual">
      <formula>$I$8</formula>
    </cfRule>
    <cfRule type="cellIs" dxfId="1336" priority="1343" stopIfTrue="1" operator="between">
      <formula>$I$8</formula>
      <formula>$J$8</formula>
    </cfRule>
    <cfRule type="cellIs" dxfId="1335" priority="1344" stopIfTrue="1" operator="greaterThanOrEqual">
      <formula>$J$8</formula>
    </cfRule>
  </conditionalFormatting>
  <conditionalFormatting sqref="Z294:AC294">
    <cfRule type="cellIs" dxfId="1334" priority="1339" stopIfTrue="1" operator="lessThanOrEqual">
      <formula>#REF!</formula>
    </cfRule>
    <cfRule type="cellIs" dxfId="1333" priority="1340" stopIfTrue="1" operator="between">
      <formula>#REF!</formula>
      <formula>#REF!</formula>
    </cfRule>
    <cfRule type="cellIs" dxfId="1332" priority="1341" stopIfTrue="1" operator="greaterThanOrEqual">
      <formula>#REF!</formula>
    </cfRule>
  </conditionalFormatting>
  <conditionalFormatting sqref="AU317:BB317">
    <cfRule type="cellIs" dxfId="1331" priority="1336" stopIfTrue="1" operator="lessThanOrEqual">
      <formula>$I$8</formula>
    </cfRule>
    <cfRule type="cellIs" dxfId="1330" priority="1337" stopIfTrue="1" operator="between">
      <formula>$I$8</formula>
      <formula>$J$8</formula>
    </cfRule>
    <cfRule type="cellIs" dxfId="1329" priority="1338" stopIfTrue="1" operator="greaterThanOrEqual">
      <formula>$J$8</formula>
    </cfRule>
  </conditionalFormatting>
  <conditionalFormatting sqref="AU317:BB317">
    <cfRule type="cellIs" dxfId="1328" priority="1333" stopIfTrue="1" operator="lessThanOrEqual">
      <formula>#REF!</formula>
    </cfRule>
    <cfRule type="cellIs" dxfId="1327" priority="1334" stopIfTrue="1" operator="between">
      <formula>#REF!</formula>
      <formula>#REF!</formula>
    </cfRule>
    <cfRule type="cellIs" dxfId="1326" priority="1335" stopIfTrue="1" operator="greaterThanOrEqual">
      <formula>#REF!</formula>
    </cfRule>
  </conditionalFormatting>
  <conditionalFormatting sqref="AU320:BB320">
    <cfRule type="cellIs" dxfId="1325" priority="1330" stopIfTrue="1" operator="lessThanOrEqual">
      <formula>$I$8</formula>
    </cfRule>
    <cfRule type="cellIs" dxfId="1324" priority="1331" stopIfTrue="1" operator="between">
      <formula>$I$8</formula>
      <formula>$J$8</formula>
    </cfRule>
    <cfRule type="cellIs" dxfId="1323" priority="1332" stopIfTrue="1" operator="greaterThanOrEqual">
      <formula>$J$8</formula>
    </cfRule>
  </conditionalFormatting>
  <conditionalFormatting sqref="AU320:BB320">
    <cfRule type="cellIs" dxfId="1322" priority="1327" stopIfTrue="1" operator="lessThanOrEqual">
      <formula>#REF!</formula>
    </cfRule>
    <cfRule type="cellIs" dxfId="1321" priority="1328" stopIfTrue="1" operator="between">
      <formula>#REF!</formula>
      <formula>#REF!</formula>
    </cfRule>
    <cfRule type="cellIs" dxfId="1320" priority="1329" stopIfTrue="1" operator="greaterThanOrEqual">
      <formula>#REF!</formula>
    </cfRule>
  </conditionalFormatting>
  <conditionalFormatting sqref="AU323:BB323">
    <cfRule type="cellIs" dxfId="1319" priority="1324" stopIfTrue="1" operator="lessThanOrEqual">
      <formula>$I$8</formula>
    </cfRule>
    <cfRule type="cellIs" dxfId="1318" priority="1325" stopIfTrue="1" operator="between">
      <formula>$I$8</formula>
      <formula>$J$8</formula>
    </cfRule>
    <cfRule type="cellIs" dxfId="1317" priority="1326" stopIfTrue="1" operator="greaterThanOrEqual">
      <formula>$J$8</formula>
    </cfRule>
  </conditionalFormatting>
  <conditionalFormatting sqref="AU323:BB323">
    <cfRule type="cellIs" dxfId="1316" priority="1321" stopIfTrue="1" operator="lessThanOrEqual">
      <formula>#REF!</formula>
    </cfRule>
    <cfRule type="cellIs" dxfId="1315" priority="1322" stopIfTrue="1" operator="between">
      <formula>#REF!</formula>
      <formula>#REF!</formula>
    </cfRule>
    <cfRule type="cellIs" dxfId="1314" priority="1323" stopIfTrue="1" operator="greaterThanOrEqual">
      <formula>#REF!</formula>
    </cfRule>
  </conditionalFormatting>
  <conditionalFormatting sqref="AU314:BB314">
    <cfRule type="cellIs" dxfId="1313" priority="1318" stopIfTrue="1" operator="lessThanOrEqual">
      <formula>$I$8</formula>
    </cfRule>
    <cfRule type="cellIs" dxfId="1312" priority="1319" stopIfTrue="1" operator="between">
      <formula>$I$8</formula>
      <formula>$J$8</formula>
    </cfRule>
    <cfRule type="cellIs" dxfId="1311" priority="1320" stopIfTrue="1" operator="greaterThanOrEqual">
      <formula>$J$8</formula>
    </cfRule>
  </conditionalFormatting>
  <conditionalFormatting sqref="AU314:BB314">
    <cfRule type="cellIs" dxfId="1310" priority="1315" stopIfTrue="1" operator="lessThanOrEqual">
      <formula>#REF!</formula>
    </cfRule>
    <cfRule type="cellIs" dxfId="1309" priority="1316" stopIfTrue="1" operator="between">
      <formula>#REF!</formula>
      <formula>#REF!</formula>
    </cfRule>
    <cfRule type="cellIs" dxfId="1308" priority="1317" stopIfTrue="1" operator="greaterThanOrEqual">
      <formula>#REF!</formula>
    </cfRule>
  </conditionalFormatting>
  <conditionalFormatting sqref="AV336 AX336 AZ336 BB336">
    <cfRule type="cellIs" dxfId="1307" priority="1312" stopIfTrue="1" operator="lessThanOrEqual">
      <formula>$I$8</formula>
    </cfRule>
    <cfRule type="cellIs" dxfId="1306" priority="1313" stopIfTrue="1" operator="between">
      <formula>$I$8</formula>
      <formula>$J$8</formula>
    </cfRule>
    <cfRule type="cellIs" dxfId="1305" priority="1314" stopIfTrue="1" operator="greaterThanOrEqual">
      <formula>$J$8</formula>
    </cfRule>
  </conditionalFormatting>
  <conditionalFormatting sqref="AV336 AX336 AZ336 BB336">
    <cfRule type="cellIs" dxfId="1304" priority="1309" stopIfTrue="1" operator="lessThanOrEqual">
      <formula>#REF!</formula>
    </cfRule>
    <cfRule type="cellIs" dxfId="1303" priority="1310" stopIfTrue="1" operator="between">
      <formula>#REF!</formula>
      <formula>#REF!</formula>
    </cfRule>
    <cfRule type="cellIs" dxfId="1302" priority="1311" stopIfTrue="1" operator="greaterThanOrEqual">
      <formula>#REF!</formula>
    </cfRule>
  </conditionalFormatting>
  <conditionalFormatting sqref="AU342:BB342">
    <cfRule type="cellIs" dxfId="1301" priority="1306" stopIfTrue="1" operator="lessThanOrEqual">
      <formula>$I$8</formula>
    </cfRule>
    <cfRule type="cellIs" dxfId="1300" priority="1307" stopIfTrue="1" operator="between">
      <formula>$I$8</formula>
      <formula>$J$8</formula>
    </cfRule>
    <cfRule type="cellIs" dxfId="1299" priority="1308" stopIfTrue="1" operator="greaterThanOrEqual">
      <formula>$J$8</formula>
    </cfRule>
  </conditionalFormatting>
  <conditionalFormatting sqref="AU342:BB342">
    <cfRule type="cellIs" dxfId="1298" priority="1303" stopIfTrue="1" operator="lessThanOrEqual">
      <formula>#REF!</formula>
    </cfRule>
    <cfRule type="cellIs" dxfId="1297" priority="1304" stopIfTrue="1" operator="between">
      <formula>#REF!</formula>
      <formula>#REF!</formula>
    </cfRule>
    <cfRule type="cellIs" dxfId="1296" priority="1305" stopIfTrue="1" operator="greaterThanOrEqual">
      <formula>#REF!</formula>
    </cfRule>
  </conditionalFormatting>
  <conditionalFormatting sqref="AU345:BB345 AX348 AX351 BB348 BB351">
    <cfRule type="cellIs" dxfId="1295" priority="1300" stopIfTrue="1" operator="lessThanOrEqual">
      <formula>$I$8</formula>
    </cfRule>
    <cfRule type="cellIs" dxfId="1294" priority="1301" stopIfTrue="1" operator="between">
      <formula>$I$8</formula>
      <formula>$J$8</formula>
    </cfRule>
    <cfRule type="cellIs" dxfId="1293" priority="1302" stopIfTrue="1" operator="greaterThanOrEqual">
      <formula>$J$8</formula>
    </cfRule>
  </conditionalFormatting>
  <conditionalFormatting sqref="AU345:BB345 AX348 AX351 BB348 BB351">
    <cfRule type="cellIs" dxfId="1292" priority="1297" stopIfTrue="1" operator="lessThanOrEqual">
      <formula>#REF!</formula>
    </cfRule>
    <cfRule type="cellIs" dxfId="1291" priority="1298" stopIfTrue="1" operator="between">
      <formula>#REF!</formula>
      <formula>#REF!</formula>
    </cfRule>
    <cfRule type="cellIs" dxfId="1290" priority="1299" stopIfTrue="1" operator="greaterThanOrEqual">
      <formula>#REF!</formula>
    </cfRule>
  </conditionalFormatting>
  <conditionalFormatting sqref="AU357:AX357 AZ357:BB357">
    <cfRule type="cellIs" dxfId="1289" priority="1294" stopIfTrue="1" operator="lessThanOrEqual">
      <formula>$I$8</formula>
    </cfRule>
    <cfRule type="cellIs" dxfId="1288" priority="1295" stopIfTrue="1" operator="between">
      <formula>$I$8</formula>
      <formula>$J$8</formula>
    </cfRule>
    <cfRule type="cellIs" dxfId="1287" priority="1296" stopIfTrue="1" operator="greaterThanOrEqual">
      <formula>$J$8</formula>
    </cfRule>
  </conditionalFormatting>
  <conditionalFormatting sqref="AU357:AX357 AZ357:BB357">
    <cfRule type="cellIs" dxfId="1286" priority="1291" stopIfTrue="1" operator="lessThanOrEqual">
      <formula>#REF!</formula>
    </cfRule>
    <cfRule type="cellIs" dxfId="1285" priority="1292" stopIfTrue="1" operator="between">
      <formula>#REF!</formula>
      <formula>#REF!</formula>
    </cfRule>
    <cfRule type="cellIs" dxfId="1284" priority="1293" stopIfTrue="1" operator="greaterThanOrEqual">
      <formula>#REF!</formula>
    </cfRule>
  </conditionalFormatting>
  <conditionalFormatting sqref="AV339 AX339 AZ339 BB339">
    <cfRule type="cellIs" dxfId="1283" priority="1288" stopIfTrue="1" operator="lessThanOrEqual">
      <formula>$I$8</formula>
    </cfRule>
    <cfRule type="cellIs" dxfId="1282" priority="1289" stopIfTrue="1" operator="between">
      <formula>$I$8</formula>
      <formula>$J$8</formula>
    </cfRule>
    <cfRule type="cellIs" dxfId="1281" priority="1290" stopIfTrue="1" operator="greaterThanOrEqual">
      <formula>$J$8</formula>
    </cfRule>
  </conditionalFormatting>
  <conditionalFormatting sqref="AV339 AX339 AZ339 BB339">
    <cfRule type="cellIs" dxfId="1280" priority="1285" stopIfTrue="1" operator="lessThanOrEqual">
      <formula>#REF!</formula>
    </cfRule>
    <cfRule type="cellIs" dxfId="1279" priority="1286" stopIfTrue="1" operator="between">
      <formula>#REF!</formula>
      <formula>#REF!</formula>
    </cfRule>
    <cfRule type="cellIs" dxfId="1278" priority="1287" stopIfTrue="1" operator="greaterThanOrEqual">
      <formula>#REF!</formula>
    </cfRule>
  </conditionalFormatting>
  <conditionalFormatting sqref="BD336">
    <cfRule type="cellIs" dxfId="1277" priority="1282" stopIfTrue="1" operator="lessThanOrEqual">
      <formula>$I$8</formula>
    </cfRule>
    <cfRule type="cellIs" dxfId="1276" priority="1283" stopIfTrue="1" operator="between">
      <formula>$I$8</formula>
      <formula>$J$8</formula>
    </cfRule>
    <cfRule type="cellIs" dxfId="1275" priority="1284" stopIfTrue="1" operator="greaterThanOrEqual">
      <formula>$J$8</formula>
    </cfRule>
  </conditionalFormatting>
  <conditionalFormatting sqref="BD336">
    <cfRule type="cellIs" dxfId="1274" priority="1279" stopIfTrue="1" operator="lessThanOrEqual">
      <formula>#REF!</formula>
    </cfRule>
    <cfRule type="cellIs" dxfId="1273" priority="1280" stopIfTrue="1" operator="between">
      <formula>#REF!</formula>
      <formula>#REF!</formula>
    </cfRule>
    <cfRule type="cellIs" dxfId="1272" priority="1281" stopIfTrue="1" operator="greaterThanOrEqual">
      <formula>#REF!</formula>
    </cfRule>
  </conditionalFormatting>
  <conditionalFormatting sqref="AU354:BB354">
    <cfRule type="cellIs" dxfId="1271" priority="1276" stopIfTrue="1" operator="lessThanOrEqual">
      <formula>$I$8</formula>
    </cfRule>
    <cfRule type="cellIs" dxfId="1270" priority="1277" stopIfTrue="1" operator="between">
      <formula>$I$8</formula>
      <formula>$J$8</formula>
    </cfRule>
    <cfRule type="cellIs" dxfId="1269" priority="1278" stopIfTrue="1" operator="greaterThanOrEqual">
      <formula>$J$8</formula>
    </cfRule>
  </conditionalFormatting>
  <conditionalFormatting sqref="AU354:BB354">
    <cfRule type="cellIs" dxfId="1268" priority="1273" stopIfTrue="1" operator="lessThanOrEqual">
      <formula>#REF!</formula>
    </cfRule>
    <cfRule type="cellIs" dxfId="1267" priority="1274" stopIfTrue="1" operator="between">
      <formula>#REF!</formula>
      <formula>#REF!</formula>
    </cfRule>
    <cfRule type="cellIs" dxfId="1266" priority="1275" stopIfTrue="1" operator="greaterThanOrEqual">
      <formula>#REF!</formula>
    </cfRule>
  </conditionalFormatting>
  <conditionalFormatting sqref="AY357">
    <cfRule type="cellIs" dxfId="1265" priority="1270" stopIfTrue="1" operator="lessThanOrEqual">
      <formula>$I$8</formula>
    </cfRule>
    <cfRule type="cellIs" dxfId="1264" priority="1271" stopIfTrue="1" operator="between">
      <formula>$I$8</formula>
      <formula>$J$8</formula>
    </cfRule>
    <cfRule type="cellIs" dxfId="1263" priority="1272" stopIfTrue="1" operator="greaterThanOrEqual">
      <formula>$J$8</formula>
    </cfRule>
  </conditionalFormatting>
  <conditionalFormatting sqref="AY357">
    <cfRule type="cellIs" dxfId="1262" priority="1267" stopIfTrue="1" operator="lessThanOrEqual">
      <formula>#REF!</formula>
    </cfRule>
    <cfRule type="cellIs" dxfId="1261" priority="1268" stopIfTrue="1" operator="between">
      <formula>#REF!</formula>
      <formula>#REF!</formula>
    </cfRule>
    <cfRule type="cellIs" dxfId="1260" priority="1269" stopIfTrue="1" operator="greaterThanOrEqual">
      <formula>#REF!</formula>
    </cfRule>
  </conditionalFormatting>
  <conditionalFormatting sqref="AU396:AX396 AZ396:BB396">
    <cfRule type="cellIs" dxfId="1259" priority="1264" stopIfTrue="1" operator="lessThanOrEqual">
      <formula>$I$8</formula>
    </cfRule>
    <cfRule type="cellIs" dxfId="1258" priority="1265" stopIfTrue="1" operator="between">
      <formula>$I$8</formula>
      <formula>$J$8</formula>
    </cfRule>
    <cfRule type="cellIs" dxfId="1257" priority="1266" stopIfTrue="1" operator="greaterThanOrEqual">
      <formula>$J$8</formula>
    </cfRule>
  </conditionalFormatting>
  <conditionalFormatting sqref="AU396:AX396 AZ396:BB396">
    <cfRule type="cellIs" dxfId="1256" priority="1261" stopIfTrue="1" operator="lessThanOrEqual">
      <formula>#REF!</formula>
    </cfRule>
    <cfRule type="cellIs" dxfId="1255" priority="1262" stopIfTrue="1" operator="between">
      <formula>#REF!</formula>
      <formula>#REF!</formula>
    </cfRule>
    <cfRule type="cellIs" dxfId="1254" priority="1263" stopIfTrue="1" operator="greaterThanOrEqual">
      <formula>#REF!</formula>
    </cfRule>
  </conditionalFormatting>
  <conditionalFormatting sqref="AU372:BB372">
    <cfRule type="cellIs" dxfId="1253" priority="1258" stopIfTrue="1" operator="lessThanOrEqual">
      <formula>$I$8</formula>
    </cfRule>
    <cfRule type="cellIs" dxfId="1252" priority="1259" stopIfTrue="1" operator="between">
      <formula>$I$8</formula>
      <formula>$J$8</formula>
    </cfRule>
    <cfRule type="cellIs" dxfId="1251" priority="1260" stopIfTrue="1" operator="greaterThanOrEqual">
      <formula>$J$8</formula>
    </cfRule>
  </conditionalFormatting>
  <conditionalFormatting sqref="AU372:BB372">
    <cfRule type="cellIs" dxfId="1250" priority="1255" stopIfTrue="1" operator="lessThanOrEqual">
      <formula>#REF!</formula>
    </cfRule>
    <cfRule type="cellIs" dxfId="1249" priority="1256" stopIfTrue="1" operator="between">
      <formula>#REF!</formula>
      <formula>#REF!</formula>
    </cfRule>
    <cfRule type="cellIs" dxfId="1248" priority="1257" stopIfTrue="1" operator="greaterThanOrEqual">
      <formula>#REF!</formula>
    </cfRule>
  </conditionalFormatting>
  <conditionalFormatting sqref="AU375:BB375">
    <cfRule type="cellIs" dxfId="1247" priority="1252" stopIfTrue="1" operator="lessThanOrEqual">
      <formula>$I$8</formula>
    </cfRule>
    <cfRule type="cellIs" dxfId="1246" priority="1253" stopIfTrue="1" operator="between">
      <formula>$I$8</formula>
      <formula>$J$8</formula>
    </cfRule>
    <cfRule type="cellIs" dxfId="1245" priority="1254" stopIfTrue="1" operator="greaterThanOrEqual">
      <formula>$J$8</formula>
    </cfRule>
  </conditionalFormatting>
  <conditionalFormatting sqref="AU375:BB375">
    <cfRule type="cellIs" dxfId="1244" priority="1249" stopIfTrue="1" operator="lessThanOrEqual">
      <formula>#REF!</formula>
    </cfRule>
    <cfRule type="cellIs" dxfId="1243" priority="1250" stopIfTrue="1" operator="between">
      <formula>#REF!</formula>
      <formula>#REF!</formula>
    </cfRule>
    <cfRule type="cellIs" dxfId="1242" priority="1251" stopIfTrue="1" operator="greaterThanOrEqual">
      <formula>#REF!</formula>
    </cfRule>
  </conditionalFormatting>
  <conditionalFormatting sqref="AU378:BB378">
    <cfRule type="cellIs" dxfId="1241" priority="1246" stopIfTrue="1" operator="lessThanOrEqual">
      <formula>$I$8</formula>
    </cfRule>
    <cfRule type="cellIs" dxfId="1240" priority="1247" stopIfTrue="1" operator="between">
      <formula>$I$8</formula>
      <formula>$J$8</formula>
    </cfRule>
    <cfRule type="cellIs" dxfId="1239" priority="1248" stopIfTrue="1" operator="greaterThanOrEqual">
      <formula>$J$8</formula>
    </cfRule>
  </conditionalFormatting>
  <conditionalFormatting sqref="AU378:BB378">
    <cfRule type="cellIs" dxfId="1238" priority="1243" stopIfTrue="1" operator="lessThanOrEqual">
      <formula>#REF!</formula>
    </cfRule>
    <cfRule type="cellIs" dxfId="1237" priority="1244" stopIfTrue="1" operator="between">
      <formula>#REF!</formula>
      <formula>#REF!</formula>
    </cfRule>
    <cfRule type="cellIs" dxfId="1236" priority="1245" stopIfTrue="1" operator="greaterThanOrEqual">
      <formula>#REF!</formula>
    </cfRule>
  </conditionalFormatting>
  <conditionalFormatting sqref="AV381 AX381 AZ381 BB381">
    <cfRule type="cellIs" dxfId="1235" priority="1240" stopIfTrue="1" operator="lessThanOrEqual">
      <formula>$I$8</formula>
    </cfRule>
    <cfRule type="cellIs" dxfId="1234" priority="1241" stopIfTrue="1" operator="between">
      <formula>$I$8</formula>
      <formula>$J$8</formula>
    </cfRule>
    <cfRule type="cellIs" dxfId="1233" priority="1242" stopIfTrue="1" operator="greaterThanOrEqual">
      <formula>$J$8</formula>
    </cfRule>
  </conditionalFormatting>
  <conditionalFormatting sqref="AV381 AX381 AZ381 BB381">
    <cfRule type="cellIs" dxfId="1232" priority="1237" stopIfTrue="1" operator="lessThanOrEqual">
      <formula>#REF!</formula>
    </cfRule>
    <cfRule type="cellIs" dxfId="1231" priority="1238" stopIfTrue="1" operator="between">
      <formula>#REF!</formula>
      <formula>#REF!</formula>
    </cfRule>
    <cfRule type="cellIs" dxfId="1230" priority="1239" stopIfTrue="1" operator="greaterThanOrEqual">
      <formula>#REF!</formula>
    </cfRule>
  </conditionalFormatting>
  <conditionalFormatting sqref="AU384:BB384">
    <cfRule type="cellIs" dxfId="1229" priority="1234" stopIfTrue="1" operator="lessThanOrEqual">
      <formula>$I$8</formula>
    </cfRule>
    <cfRule type="cellIs" dxfId="1228" priority="1235" stopIfTrue="1" operator="between">
      <formula>$I$8</formula>
      <formula>$J$8</formula>
    </cfRule>
    <cfRule type="cellIs" dxfId="1227" priority="1236" stopIfTrue="1" operator="greaterThanOrEqual">
      <formula>$J$8</formula>
    </cfRule>
  </conditionalFormatting>
  <conditionalFormatting sqref="AU384:BB384">
    <cfRule type="cellIs" dxfId="1226" priority="1231" stopIfTrue="1" operator="lessThanOrEqual">
      <formula>#REF!</formula>
    </cfRule>
    <cfRule type="cellIs" dxfId="1225" priority="1232" stopIfTrue="1" operator="between">
      <formula>#REF!</formula>
      <formula>#REF!</formula>
    </cfRule>
    <cfRule type="cellIs" dxfId="1224" priority="1233" stopIfTrue="1" operator="greaterThanOrEqual">
      <formula>#REF!</formula>
    </cfRule>
  </conditionalFormatting>
  <conditionalFormatting sqref="AU387:BB387">
    <cfRule type="cellIs" dxfId="1223" priority="1228" stopIfTrue="1" operator="lessThanOrEqual">
      <formula>$I$8</formula>
    </cfRule>
    <cfRule type="cellIs" dxfId="1222" priority="1229" stopIfTrue="1" operator="between">
      <formula>$I$8</formula>
      <formula>$J$8</formula>
    </cfRule>
    <cfRule type="cellIs" dxfId="1221" priority="1230" stopIfTrue="1" operator="greaterThanOrEqual">
      <formula>$J$8</formula>
    </cfRule>
  </conditionalFormatting>
  <conditionalFormatting sqref="AU387:BB387">
    <cfRule type="cellIs" dxfId="1220" priority="1225" stopIfTrue="1" operator="lessThanOrEqual">
      <formula>#REF!</formula>
    </cfRule>
    <cfRule type="cellIs" dxfId="1219" priority="1226" stopIfTrue="1" operator="between">
      <formula>#REF!</formula>
      <formula>#REF!</formula>
    </cfRule>
    <cfRule type="cellIs" dxfId="1218" priority="1227" stopIfTrue="1" operator="greaterThanOrEqual">
      <formula>#REF!</formula>
    </cfRule>
  </conditionalFormatting>
  <conditionalFormatting sqref="AV390 AY390:BB390">
    <cfRule type="cellIs" dxfId="1217" priority="1222" stopIfTrue="1" operator="lessThanOrEqual">
      <formula>$I$8</formula>
    </cfRule>
    <cfRule type="cellIs" dxfId="1216" priority="1223" stopIfTrue="1" operator="between">
      <formula>$I$8</formula>
      <formula>$J$8</formula>
    </cfRule>
    <cfRule type="cellIs" dxfId="1215" priority="1224" stopIfTrue="1" operator="greaterThanOrEqual">
      <formula>$J$8</formula>
    </cfRule>
  </conditionalFormatting>
  <conditionalFormatting sqref="AV390 AY390:BB390">
    <cfRule type="cellIs" dxfId="1214" priority="1219" stopIfTrue="1" operator="lessThanOrEqual">
      <formula>#REF!</formula>
    </cfRule>
    <cfRule type="cellIs" dxfId="1213" priority="1220" stopIfTrue="1" operator="between">
      <formula>#REF!</formula>
      <formula>#REF!</formula>
    </cfRule>
    <cfRule type="cellIs" dxfId="1212" priority="1221" stopIfTrue="1" operator="greaterThanOrEqual">
      <formula>#REF!</formula>
    </cfRule>
  </conditionalFormatting>
  <conditionalFormatting sqref="AU393:BB393">
    <cfRule type="cellIs" dxfId="1211" priority="1216" stopIfTrue="1" operator="lessThanOrEqual">
      <formula>$I$8</formula>
    </cfRule>
    <cfRule type="cellIs" dxfId="1210" priority="1217" stopIfTrue="1" operator="between">
      <formula>$I$8</formula>
      <formula>$J$8</formula>
    </cfRule>
    <cfRule type="cellIs" dxfId="1209" priority="1218" stopIfTrue="1" operator="greaterThanOrEqual">
      <formula>$J$8</formula>
    </cfRule>
  </conditionalFormatting>
  <conditionalFormatting sqref="AU393:BB393">
    <cfRule type="cellIs" dxfId="1208" priority="1213" stopIfTrue="1" operator="lessThanOrEqual">
      <formula>#REF!</formula>
    </cfRule>
    <cfRule type="cellIs" dxfId="1207" priority="1214" stopIfTrue="1" operator="between">
      <formula>#REF!</formula>
      <formula>#REF!</formula>
    </cfRule>
    <cfRule type="cellIs" dxfId="1206" priority="1215" stopIfTrue="1" operator="greaterThanOrEqual">
      <formula>#REF!</formula>
    </cfRule>
  </conditionalFormatting>
  <conditionalFormatting sqref="W383">
    <cfRule type="cellIs" dxfId="1205" priority="1210" stopIfTrue="1" operator="lessThanOrEqual">
      <formula>$I$8</formula>
    </cfRule>
    <cfRule type="cellIs" dxfId="1204" priority="1211" stopIfTrue="1" operator="between">
      <formula>$I$8</formula>
      <formula>$J$8</formula>
    </cfRule>
    <cfRule type="cellIs" dxfId="1203" priority="1212" stopIfTrue="1" operator="greaterThanOrEqual">
      <formula>$J$8</formula>
    </cfRule>
  </conditionalFormatting>
  <conditionalFormatting sqref="W383">
    <cfRule type="cellIs" dxfId="1202" priority="1207" stopIfTrue="1" operator="lessThanOrEqual">
      <formula>#REF!</formula>
    </cfRule>
    <cfRule type="cellIs" dxfId="1201" priority="1208" stopIfTrue="1" operator="between">
      <formula>#REF!</formula>
      <formula>#REF!</formula>
    </cfRule>
    <cfRule type="cellIs" dxfId="1200" priority="1209" stopIfTrue="1" operator="greaterThanOrEqual">
      <formula>#REF!</formula>
    </cfRule>
  </conditionalFormatting>
  <conditionalFormatting sqref="AA383">
    <cfRule type="cellIs" dxfId="1199" priority="1204" stopIfTrue="1" operator="lessThanOrEqual">
      <formula>$I$8</formula>
    </cfRule>
    <cfRule type="cellIs" dxfId="1198" priority="1205" stopIfTrue="1" operator="between">
      <formula>$I$8</formula>
      <formula>$J$8</formula>
    </cfRule>
    <cfRule type="cellIs" dxfId="1197" priority="1206" stopIfTrue="1" operator="greaterThanOrEqual">
      <formula>$J$8</formula>
    </cfRule>
  </conditionalFormatting>
  <conditionalFormatting sqref="AA383">
    <cfRule type="cellIs" dxfId="1196" priority="1201" stopIfTrue="1" operator="lessThanOrEqual">
      <formula>#REF!</formula>
    </cfRule>
    <cfRule type="cellIs" dxfId="1195" priority="1202" stopIfTrue="1" operator="between">
      <formula>#REF!</formula>
      <formula>#REF!</formula>
    </cfRule>
    <cfRule type="cellIs" dxfId="1194" priority="1203" stopIfTrue="1" operator="greaterThanOrEqual">
      <formula>#REF!</formula>
    </cfRule>
  </conditionalFormatting>
  <conditionalFormatting sqref="AY396">
    <cfRule type="cellIs" dxfId="1193" priority="1198" stopIfTrue="1" operator="lessThanOrEqual">
      <formula>$I$8</formula>
    </cfRule>
    <cfRule type="cellIs" dxfId="1192" priority="1199" stopIfTrue="1" operator="between">
      <formula>$I$8</formula>
      <formula>$J$8</formula>
    </cfRule>
    <cfRule type="cellIs" dxfId="1191" priority="1200" stopIfTrue="1" operator="greaterThanOrEqual">
      <formula>$J$8</formula>
    </cfRule>
  </conditionalFormatting>
  <conditionalFormatting sqref="AY396">
    <cfRule type="cellIs" dxfId="1190" priority="1195" stopIfTrue="1" operator="lessThanOrEqual">
      <formula>#REF!</formula>
    </cfRule>
    <cfRule type="cellIs" dxfId="1189" priority="1196" stopIfTrue="1" operator="between">
      <formula>#REF!</formula>
      <formula>#REF!</formula>
    </cfRule>
    <cfRule type="cellIs" dxfId="1188" priority="1197" stopIfTrue="1" operator="greaterThanOrEqual">
      <formula>#REF!</formula>
    </cfRule>
  </conditionalFormatting>
  <conditionalFormatting sqref="AU409:BB409">
    <cfRule type="cellIs" dxfId="1187" priority="1192" stopIfTrue="1" operator="lessThanOrEqual">
      <formula>$I$8</formula>
    </cfRule>
    <cfRule type="cellIs" dxfId="1186" priority="1193" stopIfTrue="1" operator="between">
      <formula>$I$8</formula>
      <formula>$J$8</formula>
    </cfRule>
    <cfRule type="cellIs" dxfId="1185" priority="1194" stopIfTrue="1" operator="greaterThanOrEqual">
      <formula>$J$8</formula>
    </cfRule>
  </conditionalFormatting>
  <conditionalFormatting sqref="AU409:BB409">
    <cfRule type="cellIs" dxfId="1184" priority="1189" stopIfTrue="1" operator="lessThanOrEqual">
      <formula>#REF!</formula>
    </cfRule>
    <cfRule type="cellIs" dxfId="1183" priority="1190" stopIfTrue="1" operator="between">
      <formula>#REF!</formula>
      <formula>#REF!</formula>
    </cfRule>
    <cfRule type="cellIs" dxfId="1182" priority="1191" stopIfTrue="1" operator="greaterThanOrEqual">
      <formula>#REF!</formula>
    </cfRule>
  </conditionalFormatting>
  <conditionalFormatting sqref="AU415:BB415">
    <cfRule type="cellIs" dxfId="1181" priority="1186" stopIfTrue="1" operator="lessThanOrEqual">
      <formula>$I$8</formula>
    </cfRule>
    <cfRule type="cellIs" dxfId="1180" priority="1187" stopIfTrue="1" operator="between">
      <formula>$I$8</formula>
      <formula>$J$8</formula>
    </cfRule>
    <cfRule type="cellIs" dxfId="1179" priority="1188" stopIfTrue="1" operator="greaterThanOrEqual">
      <formula>$J$8</formula>
    </cfRule>
  </conditionalFormatting>
  <conditionalFormatting sqref="AU415:BB415">
    <cfRule type="cellIs" dxfId="1178" priority="1183" stopIfTrue="1" operator="lessThanOrEqual">
      <formula>#REF!</formula>
    </cfRule>
    <cfRule type="cellIs" dxfId="1177" priority="1184" stopIfTrue="1" operator="between">
      <formula>#REF!</formula>
      <formula>#REF!</formula>
    </cfRule>
    <cfRule type="cellIs" dxfId="1176" priority="1185" stopIfTrue="1" operator="greaterThanOrEqual">
      <formula>#REF!</formula>
    </cfRule>
  </conditionalFormatting>
  <conditionalFormatting sqref="AU418:BB418">
    <cfRule type="cellIs" dxfId="1175" priority="1180" stopIfTrue="1" operator="lessThanOrEqual">
      <formula>$I$8</formula>
    </cfRule>
    <cfRule type="cellIs" dxfId="1174" priority="1181" stopIfTrue="1" operator="between">
      <formula>$I$8</formula>
      <formula>$J$8</formula>
    </cfRule>
    <cfRule type="cellIs" dxfId="1173" priority="1182" stopIfTrue="1" operator="greaterThanOrEqual">
      <formula>$J$8</formula>
    </cfRule>
  </conditionalFormatting>
  <conditionalFormatting sqref="AU418:BB418">
    <cfRule type="cellIs" dxfId="1172" priority="1177" stopIfTrue="1" operator="lessThanOrEqual">
      <formula>#REF!</formula>
    </cfRule>
    <cfRule type="cellIs" dxfId="1171" priority="1178" stopIfTrue="1" operator="between">
      <formula>#REF!</formula>
      <formula>#REF!</formula>
    </cfRule>
    <cfRule type="cellIs" dxfId="1170" priority="1179" stopIfTrue="1" operator="greaterThanOrEqual">
      <formula>#REF!</formula>
    </cfRule>
  </conditionalFormatting>
  <conditionalFormatting sqref="AU421:AW421 AY421:BA421">
    <cfRule type="cellIs" dxfId="1169" priority="1174" stopIfTrue="1" operator="lessThanOrEqual">
      <formula>$I$8</formula>
    </cfRule>
    <cfRule type="cellIs" dxfId="1168" priority="1175" stopIfTrue="1" operator="between">
      <formula>$I$8</formula>
      <formula>$J$8</formula>
    </cfRule>
    <cfRule type="cellIs" dxfId="1167" priority="1176" stopIfTrue="1" operator="greaterThanOrEqual">
      <formula>$J$8</formula>
    </cfRule>
  </conditionalFormatting>
  <conditionalFormatting sqref="AU421:AW421 AY421:BA421">
    <cfRule type="cellIs" dxfId="1166" priority="1171" stopIfTrue="1" operator="lessThanOrEqual">
      <formula>#REF!</formula>
    </cfRule>
    <cfRule type="cellIs" dxfId="1165" priority="1172" stopIfTrue="1" operator="between">
      <formula>#REF!</formula>
      <formula>#REF!</formula>
    </cfRule>
    <cfRule type="cellIs" dxfId="1164" priority="1173" stopIfTrue="1" operator="greaterThanOrEqual">
      <formula>#REF!</formula>
    </cfRule>
  </conditionalFormatting>
  <conditionalFormatting sqref="AU424:BB424">
    <cfRule type="cellIs" dxfId="1163" priority="1168" stopIfTrue="1" operator="lessThanOrEqual">
      <formula>$I$8</formula>
    </cfRule>
    <cfRule type="cellIs" dxfId="1162" priority="1169" stopIfTrue="1" operator="between">
      <formula>$I$8</formula>
      <formula>$J$8</formula>
    </cfRule>
    <cfRule type="cellIs" dxfId="1161" priority="1170" stopIfTrue="1" operator="greaterThanOrEqual">
      <formula>$J$8</formula>
    </cfRule>
  </conditionalFormatting>
  <conditionalFormatting sqref="AU424:BB424">
    <cfRule type="cellIs" dxfId="1160" priority="1165" stopIfTrue="1" operator="lessThanOrEqual">
      <formula>#REF!</formula>
    </cfRule>
    <cfRule type="cellIs" dxfId="1159" priority="1166" stopIfTrue="1" operator="between">
      <formula>#REF!</formula>
      <formula>#REF!</formula>
    </cfRule>
    <cfRule type="cellIs" dxfId="1158" priority="1167" stopIfTrue="1" operator="greaterThanOrEqual">
      <formula>#REF!</formula>
    </cfRule>
  </conditionalFormatting>
  <conditionalFormatting sqref="AV427 AZ427">
    <cfRule type="cellIs" dxfId="1157" priority="1162" stopIfTrue="1" operator="lessThanOrEqual">
      <formula>$I$8</formula>
    </cfRule>
    <cfRule type="cellIs" dxfId="1156" priority="1163" stopIfTrue="1" operator="between">
      <formula>$I$8</formula>
      <formula>$J$8</formula>
    </cfRule>
    <cfRule type="cellIs" dxfId="1155" priority="1164" stopIfTrue="1" operator="greaterThanOrEqual">
      <formula>$J$8</formula>
    </cfRule>
  </conditionalFormatting>
  <conditionalFormatting sqref="AV427 AZ427">
    <cfRule type="cellIs" dxfId="1154" priority="1159" stopIfTrue="1" operator="lessThanOrEqual">
      <formula>#REF!</formula>
    </cfRule>
    <cfRule type="cellIs" dxfId="1153" priority="1160" stopIfTrue="1" operator="between">
      <formula>#REF!</formula>
      <formula>#REF!</formula>
    </cfRule>
    <cfRule type="cellIs" dxfId="1152" priority="1161" stopIfTrue="1" operator="greaterThanOrEqual">
      <formula>#REF!</formula>
    </cfRule>
  </conditionalFormatting>
  <conditionalFormatting sqref="AV430:AX430 AZ430:BB430">
    <cfRule type="cellIs" dxfId="1151" priority="1156" stopIfTrue="1" operator="lessThanOrEqual">
      <formula>$I$8</formula>
    </cfRule>
    <cfRule type="cellIs" dxfId="1150" priority="1157" stopIfTrue="1" operator="between">
      <formula>$I$8</formula>
      <formula>$J$8</formula>
    </cfRule>
    <cfRule type="cellIs" dxfId="1149" priority="1158" stopIfTrue="1" operator="greaterThanOrEqual">
      <formula>$J$8</formula>
    </cfRule>
  </conditionalFormatting>
  <conditionalFormatting sqref="AV430:AX430 AZ430:BB430">
    <cfRule type="cellIs" dxfId="1148" priority="1153" stopIfTrue="1" operator="lessThanOrEqual">
      <formula>#REF!</formula>
    </cfRule>
    <cfRule type="cellIs" dxfId="1147" priority="1154" stopIfTrue="1" operator="between">
      <formula>#REF!</formula>
      <formula>#REF!</formula>
    </cfRule>
    <cfRule type="cellIs" dxfId="1146" priority="1155" stopIfTrue="1" operator="greaterThanOrEqual">
      <formula>#REF!</formula>
    </cfRule>
  </conditionalFormatting>
  <conditionalFormatting sqref="AV433:AX433 AZ433:BB433">
    <cfRule type="cellIs" dxfId="1145" priority="1150" stopIfTrue="1" operator="lessThanOrEqual">
      <formula>$I$8</formula>
    </cfRule>
    <cfRule type="cellIs" dxfId="1144" priority="1151" stopIfTrue="1" operator="between">
      <formula>$I$8</formula>
      <formula>$J$8</formula>
    </cfRule>
    <cfRule type="cellIs" dxfId="1143" priority="1152" stopIfTrue="1" operator="greaterThanOrEqual">
      <formula>$J$8</formula>
    </cfRule>
  </conditionalFormatting>
  <conditionalFormatting sqref="AV433:AX433 AZ433:BB433">
    <cfRule type="cellIs" dxfId="1142" priority="1147" stopIfTrue="1" operator="lessThanOrEqual">
      <formula>#REF!</formula>
    </cfRule>
    <cfRule type="cellIs" dxfId="1141" priority="1148" stopIfTrue="1" operator="between">
      <formula>#REF!</formula>
      <formula>#REF!</formula>
    </cfRule>
    <cfRule type="cellIs" dxfId="1140" priority="1149" stopIfTrue="1" operator="greaterThanOrEqual">
      <formula>#REF!</formula>
    </cfRule>
  </conditionalFormatting>
  <conditionalFormatting sqref="AV436:AX436 AZ436:BB436">
    <cfRule type="cellIs" dxfId="1139" priority="1144" stopIfTrue="1" operator="lessThanOrEqual">
      <formula>$I$8</formula>
    </cfRule>
    <cfRule type="cellIs" dxfId="1138" priority="1145" stopIfTrue="1" operator="between">
      <formula>$I$8</formula>
      <formula>$J$8</formula>
    </cfRule>
    <cfRule type="cellIs" dxfId="1137" priority="1146" stopIfTrue="1" operator="greaterThanOrEqual">
      <formula>$J$8</formula>
    </cfRule>
  </conditionalFormatting>
  <conditionalFormatting sqref="AV436:AX436 AZ436:BB436">
    <cfRule type="cellIs" dxfId="1136" priority="1141" stopIfTrue="1" operator="lessThanOrEqual">
      <formula>#REF!</formula>
    </cfRule>
    <cfRule type="cellIs" dxfId="1135" priority="1142" stopIfTrue="1" operator="between">
      <formula>#REF!</formula>
      <formula>#REF!</formula>
    </cfRule>
    <cfRule type="cellIs" dxfId="1134" priority="1143" stopIfTrue="1" operator="greaterThanOrEqual">
      <formula>#REF!</formula>
    </cfRule>
  </conditionalFormatting>
  <conditionalFormatting sqref="Z426:AC426">
    <cfRule type="cellIs" dxfId="1133" priority="1138" stopIfTrue="1" operator="lessThanOrEqual">
      <formula>$I$8</formula>
    </cfRule>
    <cfRule type="cellIs" dxfId="1132" priority="1139" stopIfTrue="1" operator="between">
      <formula>$I$8</formula>
      <formula>$J$8</formula>
    </cfRule>
    <cfRule type="cellIs" dxfId="1131" priority="1140" stopIfTrue="1" operator="greaterThanOrEqual">
      <formula>$J$8</formula>
    </cfRule>
  </conditionalFormatting>
  <conditionalFormatting sqref="Z426:AC426">
    <cfRule type="cellIs" dxfId="1130" priority="1135" stopIfTrue="1" operator="lessThanOrEqual">
      <formula>#REF!</formula>
    </cfRule>
    <cfRule type="cellIs" dxfId="1129" priority="1136" stopIfTrue="1" operator="between">
      <formula>#REF!</formula>
      <formula>#REF!</formula>
    </cfRule>
    <cfRule type="cellIs" dxfId="1128" priority="1137" stopIfTrue="1" operator="greaterThanOrEqual">
      <formula>#REF!</formula>
    </cfRule>
  </conditionalFormatting>
  <conditionalFormatting sqref="AU412:BB412">
    <cfRule type="cellIs" dxfId="1127" priority="1132" stopIfTrue="1" operator="lessThanOrEqual">
      <formula>$I$8</formula>
    </cfRule>
    <cfRule type="cellIs" dxfId="1126" priority="1133" stopIfTrue="1" operator="between">
      <formula>$I$8</formula>
      <formula>$J$8</formula>
    </cfRule>
    <cfRule type="cellIs" dxfId="1125" priority="1134" stopIfTrue="1" operator="greaterThanOrEqual">
      <formula>$J$8</formula>
    </cfRule>
  </conditionalFormatting>
  <conditionalFormatting sqref="AU412:BB412">
    <cfRule type="cellIs" dxfId="1124" priority="1129" stopIfTrue="1" operator="lessThanOrEqual">
      <formula>#REF!</formula>
    </cfRule>
    <cfRule type="cellIs" dxfId="1123" priority="1130" stopIfTrue="1" operator="between">
      <formula>#REF!</formula>
      <formula>#REF!</formula>
    </cfRule>
    <cfRule type="cellIs" dxfId="1122" priority="1131" stopIfTrue="1" operator="greaterThanOrEqual">
      <formula>#REF!</formula>
    </cfRule>
  </conditionalFormatting>
  <conditionalFormatting sqref="AU452:BB452">
    <cfRule type="cellIs" dxfId="1121" priority="1126" stopIfTrue="1" operator="lessThanOrEqual">
      <formula>$I$8</formula>
    </cfRule>
    <cfRule type="cellIs" dxfId="1120" priority="1127" stopIfTrue="1" operator="between">
      <formula>$I$8</formula>
      <formula>$J$8</formula>
    </cfRule>
    <cfRule type="cellIs" dxfId="1119" priority="1128" stopIfTrue="1" operator="greaterThanOrEqual">
      <formula>$J$8</formula>
    </cfRule>
  </conditionalFormatting>
  <conditionalFormatting sqref="AU452:BB452">
    <cfRule type="cellIs" dxfId="1118" priority="1123" stopIfTrue="1" operator="lessThanOrEqual">
      <formula>#REF!</formula>
    </cfRule>
    <cfRule type="cellIs" dxfId="1117" priority="1124" stopIfTrue="1" operator="between">
      <formula>#REF!</formula>
      <formula>#REF!</formula>
    </cfRule>
    <cfRule type="cellIs" dxfId="1116" priority="1125" stopIfTrue="1" operator="greaterThanOrEqual">
      <formula>#REF!</formula>
    </cfRule>
  </conditionalFormatting>
  <conditionalFormatting sqref="AU455:BB455">
    <cfRule type="cellIs" dxfId="1115" priority="1120" stopIfTrue="1" operator="lessThanOrEqual">
      <formula>$I$8</formula>
    </cfRule>
    <cfRule type="cellIs" dxfId="1114" priority="1121" stopIfTrue="1" operator="between">
      <formula>$I$8</formula>
      <formula>$J$8</formula>
    </cfRule>
    <cfRule type="cellIs" dxfId="1113" priority="1122" stopIfTrue="1" operator="greaterThanOrEqual">
      <formula>$J$8</formula>
    </cfRule>
  </conditionalFormatting>
  <conditionalFormatting sqref="AU455:BB455">
    <cfRule type="cellIs" dxfId="1112" priority="1117" stopIfTrue="1" operator="lessThanOrEqual">
      <formula>#REF!</formula>
    </cfRule>
    <cfRule type="cellIs" dxfId="1111" priority="1118" stopIfTrue="1" operator="between">
      <formula>#REF!</formula>
      <formula>#REF!</formula>
    </cfRule>
    <cfRule type="cellIs" dxfId="1110" priority="1119" stopIfTrue="1" operator="greaterThanOrEqual">
      <formula>#REF!</formula>
    </cfRule>
  </conditionalFormatting>
  <conditionalFormatting sqref="AU458:BB458">
    <cfRule type="cellIs" dxfId="1109" priority="1114" stopIfTrue="1" operator="lessThanOrEqual">
      <formula>$I$8</formula>
    </cfRule>
    <cfRule type="cellIs" dxfId="1108" priority="1115" stopIfTrue="1" operator="between">
      <formula>$I$8</formula>
      <formula>$J$8</formula>
    </cfRule>
    <cfRule type="cellIs" dxfId="1107" priority="1116" stopIfTrue="1" operator="greaterThanOrEqual">
      <formula>$J$8</formula>
    </cfRule>
  </conditionalFormatting>
  <conditionalFormatting sqref="AU458:BB458">
    <cfRule type="cellIs" dxfId="1106" priority="1111" stopIfTrue="1" operator="lessThanOrEqual">
      <formula>#REF!</formula>
    </cfRule>
    <cfRule type="cellIs" dxfId="1105" priority="1112" stopIfTrue="1" operator="between">
      <formula>#REF!</formula>
      <formula>#REF!</formula>
    </cfRule>
    <cfRule type="cellIs" dxfId="1104" priority="1113" stopIfTrue="1" operator="greaterThanOrEqual">
      <formula>#REF!</formula>
    </cfRule>
  </conditionalFormatting>
  <conditionalFormatting sqref="AV461 AZ461">
    <cfRule type="cellIs" dxfId="1103" priority="1108" stopIfTrue="1" operator="lessThanOrEqual">
      <formula>$I$8</formula>
    </cfRule>
    <cfRule type="cellIs" dxfId="1102" priority="1109" stopIfTrue="1" operator="between">
      <formula>$I$8</formula>
      <formula>$J$8</formula>
    </cfRule>
    <cfRule type="cellIs" dxfId="1101" priority="1110" stopIfTrue="1" operator="greaterThanOrEqual">
      <formula>$J$8</formula>
    </cfRule>
  </conditionalFormatting>
  <conditionalFormatting sqref="AV461 AZ461">
    <cfRule type="cellIs" dxfId="1100" priority="1105" stopIfTrue="1" operator="lessThanOrEqual">
      <formula>#REF!</formula>
    </cfRule>
    <cfRule type="cellIs" dxfId="1099" priority="1106" stopIfTrue="1" operator="between">
      <formula>#REF!</formula>
      <formula>#REF!</formula>
    </cfRule>
    <cfRule type="cellIs" dxfId="1098" priority="1107" stopIfTrue="1" operator="greaterThanOrEqual">
      <formula>#REF!</formula>
    </cfRule>
  </conditionalFormatting>
  <conditionalFormatting sqref="AU467:BB467">
    <cfRule type="cellIs" dxfId="1097" priority="1102" stopIfTrue="1" operator="lessThanOrEqual">
      <formula>$I$8</formula>
    </cfRule>
    <cfRule type="cellIs" dxfId="1096" priority="1103" stopIfTrue="1" operator="between">
      <formula>$I$8</formula>
      <formula>$J$8</formula>
    </cfRule>
    <cfRule type="cellIs" dxfId="1095" priority="1104" stopIfTrue="1" operator="greaterThanOrEqual">
      <formula>$J$8</formula>
    </cfRule>
  </conditionalFormatting>
  <conditionalFormatting sqref="AU467:BB467">
    <cfRule type="cellIs" dxfId="1094" priority="1099" stopIfTrue="1" operator="lessThanOrEqual">
      <formula>#REF!</formula>
    </cfRule>
    <cfRule type="cellIs" dxfId="1093" priority="1100" stopIfTrue="1" operator="between">
      <formula>#REF!</formula>
      <formula>#REF!</formula>
    </cfRule>
    <cfRule type="cellIs" dxfId="1092" priority="1101" stopIfTrue="1" operator="greaterThanOrEqual">
      <formula>#REF!</formula>
    </cfRule>
  </conditionalFormatting>
  <conditionalFormatting sqref="AV470 AX470 AZ470 BB470">
    <cfRule type="cellIs" dxfId="1091" priority="1096" stopIfTrue="1" operator="lessThanOrEqual">
      <formula>$I$8</formula>
    </cfRule>
    <cfRule type="cellIs" dxfId="1090" priority="1097" stopIfTrue="1" operator="between">
      <formula>$I$8</formula>
      <formula>$J$8</formula>
    </cfRule>
    <cfRule type="cellIs" dxfId="1089" priority="1098" stopIfTrue="1" operator="greaterThanOrEqual">
      <formula>$J$8</formula>
    </cfRule>
  </conditionalFormatting>
  <conditionalFormatting sqref="AV470 AX470 AZ470 BB470">
    <cfRule type="cellIs" dxfId="1088" priority="1093" stopIfTrue="1" operator="lessThanOrEqual">
      <formula>#REF!</formula>
    </cfRule>
    <cfRule type="cellIs" dxfId="1087" priority="1094" stopIfTrue="1" operator="between">
      <formula>#REF!</formula>
      <formula>#REF!</formula>
    </cfRule>
    <cfRule type="cellIs" dxfId="1086" priority="1095" stopIfTrue="1" operator="greaterThanOrEqual">
      <formula>#REF!</formula>
    </cfRule>
  </conditionalFormatting>
  <conditionalFormatting sqref="AU473:BB473">
    <cfRule type="cellIs" dxfId="1085" priority="1090" stopIfTrue="1" operator="lessThanOrEqual">
      <formula>$I$8</formula>
    </cfRule>
    <cfRule type="cellIs" dxfId="1084" priority="1091" stopIfTrue="1" operator="between">
      <formula>$I$8</formula>
      <formula>$J$8</formula>
    </cfRule>
    <cfRule type="cellIs" dxfId="1083" priority="1092" stopIfTrue="1" operator="greaterThanOrEqual">
      <formula>$J$8</formula>
    </cfRule>
  </conditionalFormatting>
  <conditionalFormatting sqref="AU473:BB473">
    <cfRule type="cellIs" dxfId="1082" priority="1087" stopIfTrue="1" operator="lessThanOrEqual">
      <formula>#REF!</formula>
    </cfRule>
    <cfRule type="cellIs" dxfId="1081" priority="1088" stopIfTrue="1" operator="between">
      <formula>#REF!</formula>
      <formula>#REF!</formula>
    </cfRule>
    <cfRule type="cellIs" dxfId="1080" priority="1089" stopIfTrue="1" operator="greaterThanOrEqual">
      <formula>#REF!</formula>
    </cfRule>
  </conditionalFormatting>
  <conditionalFormatting sqref="AX464">
    <cfRule type="cellIs" dxfId="1079" priority="1084" stopIfTrue="1" operator="lessThanOrEqual">
      <formula>$I$8</formula>
    </cfRule>
    <cfRule type="cellIs" dxfId="1078" priority="1085" stopIfTrue="1" operator="between">
      <formula>$I$8</formula>
      <formula>$J$8</formula>
    </cfRule>
    <cfRule type="cellIs" dxfId="1077" priority="1086" stopIfTrue="1" operator="greaterThanOrEqual">
      <formula>$J$8</formula>
    </cfRule>
  </conditionalFormatting>
  <conditionalFormatting sqref="AX464">
    <cfRule type="cellIs" dxfId="1076" priority="1081" stopIfTrue="1" operator="lessThanOrEqual">
      <formula>#REF!</formula>
    </cfRule>
    <cfRule type="cellIs" dxfId="1075" priority="1082" stopIfTrue="1" operator="between">
      <formula>#REF!</formula>
      <formula>#REF!</formula>
    </cfRule>
    <cfRule type="cellIs" dxfId="1074" priority="1083" stopIfTrue="1" operator="greaterThanOrEqual">
      <formula>#REF!</formula>
    </cfRule>
  </conditionalFormatting>
  <conditionalFormatting sqref="BB464">
    <cfRule type="cellIs" dxfId="1073" priority="1078" stopIfTrue="1" operator="lessThanOrEqual">
      <formula>$I$8</formula>
    </cfRule>
    <cfRule type="cellIs" dxfId="1072" priority="1079" stopIfTrue="1" operator="between">
      <formula>$I$8</formula>
      <formula>$J$8</formula>
    </cfRule>
    <cfRule type="cellIs" dxfId="1071" priority="1080" stopIfTrue="1" operator="greaterThanOrEqual">
      <formula>$J$8</formula>
    </cfRule>
  </conditionalFormatting>
  <conditionalFormatting sqref="BB464">
    <cfRule type="cellIs" dxfId="1070" priority="1075" stopIfTrue="1" operator="lessThanOrEqual">
      <formula>#REF!</formula>
    </cfRule>
    <cfRule type="cellIs" dxfId="1069" priority="1076" stopIfTrue="1" operator="between">
      <formula>#REF!</formula>
      <formula>#REF!</formula>
    </cfRule>
    <cfRule type="cellIs" dxfId="1068" priority="1077" stopIfTrue="1" operator="greaterThanOrEqual">
      <formula>#REF!</formula>
    </cfRule>
  </conditionalFormatting>
  <conditionalFormatting sqref="AC466">
    <cfRule type="cellIs" dxfId="1067" priority="1072" stopIfTrue="1" operator="lessThanOrEqual">
      <formula>$I$8</formula>
    </cfRule>
    <cfRule type="cellIs" dxfId="1066" priority="1073" stopIfTrue="1" operator="between">
      <formula>$I$8</formula>
      <formula>$J$8</formula>
    </cfRule>
    <cfRule type="cellIs" dxfId="1065" priority="1074" stopIfTrue="1" operator="greaterThanOrEqual">
      <formula>$J$8</formula>
    </cfRule>
  </conditionalFormatting>
  <conditionalFormatting sqref="AC466">
    <cfRule type="cellIs" dxfId="1064" priority="1069" stopIfTrue="1" operator="lessThanOrEqual">
      <formula>#REF!</formula>
    </cfRule>
    <cfRule type="cellIs" dxfId="1063" priority="1070" stopIfTrue="1" operator="between">
      <formula>#REF!</formula>
      <formula>#REF!</formula>
    </cfRule>
    <cfRule type="cellIs" dxfId="1062" priority="1071" stopIfTrue="1" operator="greaterThanOrEqual">
      <formula>#REF!</formula>
    </cfRule>
  </conditionalFormatting>
  <conditionalFormatting sqref="AU537:AX537 AZ537:BB537">
    <cfRule type="cellIs" dxfId="1061" priority="1066" stopIfTrue="1" operator="lessThanOrEqual">
      <formula>$I$8</formula>
    </cfRule>
    <cfRule type="cellIs" dxfId="1060" priority="1067" stopIfTrue="1" operator="between">
      <formula>$I$8</formula>
      <formula>$J$8</formula>
    </cfRule>
    <cfRule type="cellIs" dxfId="1059" priority="1068" stopIfTrue="1" operator="greaterThanOrEqual">
      <formula>$J$8</formula>
    </cfRule>
  </conditionalFormatting>
  <conditionalFormatting sqref="AU537:AX537 AZ537:BB537">
    <cfRule type="cellIs" dxfId="1058" priority="1063" stopIfTrue="1" operator="lessThanOrEqual">
      <formula>#REF!</formula>
    </cfRule>
    <cfRule type="cellIs" dxfId="1057" priority="1064" stopIfTrue="1" operator="between">
      <formula>#REF!</formula>
      <formula>#REF!</formula>
    </cfRule>
    <cfRule type="cellIs" dxfId="1056" priority="1065" stopIfTrue="1" operator="greaterThanOrEqual">
      <formula>#REF!</formula>
    </cfRule>
  </conditionalFormatting>
  <conditionalFormatting sqref="AU486:BB486">
    <cfRule type="cellIs" dxfId="1055" priority="1060" stopIfTrue="1" operator="lessThanOrEqual">
      <formula>$I$8</formula>
    </cfRule>
    <cfRule type="cellIs" dxfId="1054" priority="1061" stopIfTrue="1" operator="between">
      <formula>$I$8</formula>
      <formula>$J$8</formula>
    </cfRule>
    <cfRule type="cellIs" dxfId="1053" priority="1062" stopIfTrue="1" operator="greaterThanOrEqual">
      <formula>$J$8</formula>
    </cfRule>
  </conditionalFormatting>
  <conditionalFormatting sqref="AU486:BB486">
    <cfRule type="cellIs" dxfId="1052" priority="1057" stopIfTrue="1" operator="lessThanOrEqual">
      <formula>#REF!</formula>
    </cfRule>
    <cfRule type="cellIs" dxfId="1051" priority="1058" stopIfTrue="1" operator="between">
      <formula>#REF!</formula>
      <formula>#REF!</formula>
    </cfRule>
    <cfRule type="cellIs" dxfId="1050" priority="1059" stopIfTrue="1" operator="greaterThanOrEqual">
      <formula>#REF!</formula>
    </cfRule>
  </conditionalFormatting>
  <conditionalFormatting sqref="AX489 BB489">
    <cfRule type="cellIs" dxfId="1049" priority="1054" stopIfTrue="1" operator="lessThanOrEqual">
      <formula>$I$8</formula>
    </cfRule>
    <cfRule type="cellIs" dxfId="1048" priority="1055" stopIfTrue="1" operator="between">
      <formula>$I$8</formula>
      <formula>$J$8</formula>
    </cfRule>
    <cfRule type="cellIs" dxfId="1047" priority="1056" stopIfTrue="1" operator="greaterThanOrEqual">
      <formula>$J$8</formula>
    </cfRule>
  </conditionalFormatting>
  <conditionalFormatting sqref="AX489 BB489">
    <cfRule type="cellIs" dxfId="1046" priority="1051" stopIfTrue="1" operator="lessThanOrEqual">
      <formula>#REF!</formula>
    </cfRule>
    <cfRule type="cellIs" dxfId="1045" priority="1052" stopIfTrue="1" operator="between">
      <formula>#REF!</formula>
      <formula>#REF!</formula>
    </cfRule>
    <cfRule type="cellIs" dxfId="1044" priority="1053" stopIfTrue="1" operator="greaterThanOrEqual">
      <formula>#REF!</formula>
    </cfRule>
  </conditionalFormatting>
  <conditionalFormatting sqref="AX492 BB492">
    <cfRule type="cellIs" dxfId="1043" priority="1048" stopIfTrue="1" operator="lessThanOrEqual">
      <formula>$I$8</formula>
    </cfRule>
    <cfRule type="cellIs" dxfId="1042" priority="1049" stopIfTrue="1" operator="between">
      <formula>$I$8</formula>
      <formula>$J$8</formula>
    </cfRule>
    <cfRule type="cellIs" dxfId="1041" priority="1050" stopIfTrue="1" operator="greaterThanOrEqual">
      <formula>$J$8</formula>
    </cfRule>
  </conditionalFormatting>
  <conditionalFormatting sqref="AX492 BB492">
    <cfRule type="cellIs" dxfId="1040" priority="1045" stopIfTrue="1" operator="lessThanOrEqual">
      <formula>#REF!</formula>
    </cfRule>
    <cfRule type="cellIs" dxfId="1039" priority="1046" stopIfTrue="1" operator="between">
      <formula>#REF!</formula>
      <formula>#REF!</formula>
    </cfRule>
    <cfRule type="cellIs" dxfId="1038" priority="1047" stopIfTrue="1" operator="greaterThanOrEqual">
      <formula>#REF!</formula>
    </cfRule>
  </conditionalFormatting>
  <conditionalFormatting sqref="AU495:BB495">
    <cfRule type="cellIs" dxfId="1037" priority="1042" stopIfTrue="1" operator="lessThanOrEqual">
      <formula>$I$8</formula>
    </cfRule>
    <cfRule type="cellIs" dxfId="1036" priority="1043" stopIfTrue="1" operator="between">
      <formula>$I$8</formula>
      <formula>$J$8</formula>
    </cfRule>
    <cfRule type="cellIs" dxfId="1035" priority="1044" stopIfTrue="1" operator="greaterThanOrEqual">
      <formula>$J$8</formula>
    </cfRule>
  </conditionalFormatting>
  <conditionalFormatting sqref="AU495:BB495">
    <cfRule type="cellIs" dxfId="1034" priority="1039" stopIfTrue="1" operator="lessThanOrEqual">
      <formula>#REF!</formula>
    </cfRule>
    <cfRule type="cellIs" dxfId="1033" priority="1040" stopIfTrue="1" operator="between">
      <formula>#REF!</formula>
      <formula>#REF!</formula>
    </cfRule>
    <cfRule type="cellIs" dxfId="1032" priority="1041" stopIfTrue="1" operator="greaterThanOrEqual">
      <formula>#REF!</formula>
    </cfRule>
  </conditionalFormatting>
  <conditionalFormatting sqref="AU498:BB498">
    <cfRule type="cellIs" dxfId="1031" priority="1036" stopIfTrue="1" operator="lessThanOrEqual">
      <formula>$I$8</formula>
    </cfRule>
    <cfRule type="cellIs" dxfId="1030" priority="1037" stopIfTrue="1" operator="between">
      <formula>$I$8</formula>
      <formula>$J$8</formula>
    </cfRule>
    <cfRule type="cellIs" dxfId="1029" priority="1038" stopIfTrue="1" operator="greaterThanOrEqual">
      <formula>$J$8</formula>
    </cfRule>
  </conditionalFormatting>
  <conditionalFormatting sqref="AU498:BB498">
    <cfRule type="cellIs" dxfId="1028" priority="1033" stopIfTrue="1" operator="lessThanOrEqual">
      <formula>#REF!</formula>
    </cfRule>
    <cfRule type="cellIs" dxfId="1027" priority="1034" stopIfTrue="1" operator="between">
      <formula>#REF!</formula>
      <formula>#REF!</formula>
    </cfRule>
    <cfRule type="cellIs" dxfId="1026" priority="1035" stopIfTrue="1" operator="greaterThanOrEqual">
      <formula>#REF!</formula>
    </cfRule>
  </conditionalFormatting>
  <conditionalFormatting sqref="AV510:AX510 AZ510:BB510">
    <cfRule type="cellIs" dxfId="1025" priority="1030" stopIfTrue="1" operator="lessThanOrEqual">
      <formula>$I$8</formula>
    </cfRule>
    <cfRule type="cellIs" dxfId="1024" priority="1031" stopIfTrue="1" operator="between">
      <formula>$I$8</formula>
      <formula>$J$8</formula>
    </cfRule>
    <cfRule type="cellIs" dxfId="1023" priority="1032" stopIfTrue="1" operator="greaterThanOrEqual">
      <formula>$J$8</formula>
    </cfRule>
  </conditionalFormatting>
  <conditionalFormatting sqref="AV510:AX510 AZ510:BB510">
    <cfRule type="cellIs" dxfId="1022" priority="1027" stopIfTrue="1" operator="lessThanOrEqual">
      <formula>#REF!</formula>
    </cfRule>
    <cfRule type="cellIs" dxfId="1021" priority="1028" stopIfTrue="1" operator="between">
      <formula>#REF!</formula>
      <formula>#REF!</formula>
    </cfRule>
    <cfRule type="cellIs" dxfId="1020" priority="1029" stopIfTrue="1" operator="greaterThanOrEqual">
      <formula>#REF!</formula>
    </cfRule>
  </conditionalFormatting>
  <conditionalFormatting sqref="AV516 AZ516">
    <cfRule type="cellIs" dxfId="1019" priority="1024" stopIfTrue="1" operator="lessThanOrEqual">
      <formula>$I$8</formula>
    </cfRule>
    <cfRule type="cellIs" dxfId="1018" priority="1025" stopIfTrue="1" operator="between">
      <formula>$I$8</formula>
      <formula>$J$8</formula>
    </cfRule>
    <cfRule type="cellIs" dxfId="1017" priority="1026" stopIfTrue="1" operator="greaterThanOrEqual">
      <formula>$J$8</formula>
    </cfRule>
  </conditionalFormatting>
  <conditionalFormatting sqref="AV516 AZ516">
    <cfRule type="cellIs" dxfId="1016" priority="1021" stopIfTrue="1" operator="lessThanOrEqual">
      <formula>#REF!</formula>
    </cfRule>
    <cfRule type="cellIs" dxfId="1015" priority="1022" stopIfTrue="1" operator="between">
      <formula>#REF!</formula>
      <formula>#REF!</formula>
    </cfRule>
    <cfRule type="cellIs" dxfId="1014" priority="1023" stopIfTrue="1" operator="greaterThanOrEqual">
      <formula>#REF!</formula>
    </cfRule>
  </conditionalFormatting>
  <conditionalFormatting sqref="AU519:BB519">
    <cfRule type="cellIs" dxfId="1013" priority="1018" stopIfTrue="1" operator="lessThanOrEqual">
      <formula>$I$8</formula>
    </cfRule>
    <cfRule type="cellIs" dxfId="1012" priority="1019" stopIfTrue="1" operator="between">
      <formula>$I$8</formula>
      <formula>$J$8</formula>
    </cfRule>
    <cfRule type="cellIs" dxfId="1011" priority="1020" stopIfTrue="1" operator="greaterThanOrEqual">
      <formula>$J$8</formula>
    </cfRule>
  </conditionalFormatting>
  <conditionalFormatting sqref="AU519:BB519">
    <cfRule type="cellIs" dxfId="1010" priority="1015" stopIfTrue="1" operator="lessThanOrEqual">
      <formula>#REF!</formula>
    </cfRule>
    <cfRule type="cellIs" dxfId="1009" priority="1016" stopIfTrue="1" operator="between">
      <formula>#REF!</formula>
      <formula>#REF!</formula>
    </cfRule>
    <cfRule type="cellIs" dxfId="1008" priority="1017" stopIfTrue="1" operator="greaterThanOrEqual">
      <formula>#REF!</formula>
    </cfRule>
  </conditionalFormatting>
  <conditionalFormatting sqref="AV522 AX522 AZ522 BB522">
    <cfRule type="cellIs" dxfId="1007" priority="1012" stopIfTrue="1" operator="lessThanOrEqual">
      <formula>$I$8</formula>
    </cfRule>
    <cfRule type="cellIs" dxfId="1006" priority="1013" stopIfTrue="1" operator="between">
      <formula>$I$8</formula>
      <formula>$J$8</formula>
    </cfRule>
    <cfRule type="cellIs" dxfId="1005" priority="1014" stopIfTrue="1" operator="greaterThanOrEqual">
      <formula>$J$8</formula>
    </cfRule>
  </conditionalFormatting>
  <conditionalFormatting sqref="AV522 AX522 AZ522 BB522">
    <cfRule type="cellIs" dxfId="1004" priority="1009" stopIfTrue="1" operator="lessThanOrEqual">
      <formula>#REF!</formula>
    </cfRule>
    <cfRule type="cellIs" dxfId="1003" priority="1010" stopIfTrue="1" operator="between">
      <formula>#REF!</formula>
      <formula>#REF!</formula>
    </cfRule>
    <cfRule type="cellIs" dxfId="1002" priority="1011" stopIfTrue="1" operator="greaterThanOrEqual">
      <formula>#REF!</formula>
    </cfRule>
  </conditionalFormatting>
  <conditionalFormatting sqref="AU525:BB525">
    <cfRule type="cellIs" dxfId="1001" priority="1006" stopIfTrue="1" operator="lessThanOrEqual">
      <formula>$I$8</formula>
    </cfRule>
    <cfRule type="cellIs" dxfId="1000" priority="1007" stopIfTrue="1" operator="between">
      <formula>$I$8</formula>
      <formula>$J$8</formula>
    </cfRule>
    <cfRule type="cellIs" dxfId="999" priority="1008" stopIfTrue="1" operator="greaterThanOrEqual">
      <formula>$J$8</formula>
    </cfRule>
  </conditionalFormatting>
  <conditionalFormatting sqref="AU525:BB525">
    <cfRule type="cellIs" dxfId="998" priority="1003" stopIfTrue="1" operator="lessThanOrEqual">
      <formula>#REF!</formula>
    </cfRule>
    <cfRule type="cellIs" dxfId="997" priority="1004" stopIfTrue="1" operator="between">
      <formula>#REF!</formula>
      <formula>#REF!</formula>
    </cfRule>
    <cfRule type="cellIs" dxfId="996" priority="1005" stopIfTrue="1" operator="greaterThanOrEqual">
      <formula>#REF!</formula>
    </cfRule>
  </conditionalFormatting>
  <conditionalFormatting sqref="AU528:BB528">
    <cfRule type="cellIs" dxfId="995" priority="1000" stopIfTrue="1" operator="lessThanOrEqual">
      <formula>$I$8</formula>
    </cfRule>
    <cfRule type="cellIs" dxfId="994" priority="1001" stopIfTrue="1" operator="between">
      <formula>$I$8</formula>
      <formula>$J$8</formula>
    </cfRule>
    <cfRule type="cellIs" dxfId="993" priority="1002" stopIfTrue="1" operator="greaterThanOrEqual">
      <formula>$J$8</formula>
    </cfRule>
  </conditionalFormatting>
  <conditionalFormatting sqref="AU528:BB528">
    <cfRule type="cellIs" dxfId="992" priority="997" stopIfTrue="1" operator="lessThanOrEqual">
      <formula>#REF!</formula>
    </cfRule>
    <cfRule type="cellIs" dxfId="991" priority="998" stopIfTrue="1" operator="between">
      <formula>#REF!</formula>
      <formula>#REF!</formula>
    </cfRule>
    <cfRule type="cellIs" dxfId="990" priority="999" stopIfTrue="1" operator="greaterThanOrEqual">
      <formula>#REF!</formula>
    </cfRule>
  </conditionalFormatting>
  <conditionalFormatting sqref="AU531:BB531">
    <cfRule type="cellIs" dxfId="989" priority="994" stopIfTrue="1" operator="lessThanOrEqual">
      <formula>$I$8</formula>
    </cfRule>
    <cfRule type="cellIs" dxfId="988" priority="995" stopIfTrue="1" operator="between">
      <formula>$I$8</formula>
      <formula>$J$8</formula>
    </cfRule>
    <cfRule type="cellIs" dxfId="987" priority="996" stopIfTrue="1" operator="greaterThanOrEqual">
      <formula>$J$8</formula>
    </cfRule>
  </conditionalFormatting>
  <conditionalFormatting sqref="AU531:BB531">
    <cfRule type="cellIs" dxfId="986" priority="991" stopIfTrue="1" operator="lessThanOrEqual">
      <formula>#REF!</formula>
    </cfRule>
    <cfRule type="cellIs" dxfId="985" priority="992" stopIfTrue="1" operator="between">
      <formula>#REF!</formula>
      <formula>#REF!</formula>
    </cfRule>
    <cfRule type="cellIs" dxfId="984" priority="993" stopIfTrue="1" operator="greaterThanOrEqual">
      <formula>#REF!</formula>
    </cfRule>
  </conditionalFormatting>
  <conditionalFormatting sqref="AV534 AX534 AZ534 BB534">
    <cfRule type="cellIs" dxfId="983" priority="988" stopIfTrue="1" operator="lessThanOrEqual">
      <formula>$I$8</formula>
    </cfRule>
    <cfRule type="cellIs" dxfId="982" priority="989" stopIfTrue="1" operator="between">
      <formula>$I$8</formula>
      <formula>$J$8</formula>
    </cfRule>
    <cfRule type="cellIs" dxfId="981" priority="990" stopIfTrue="1" operator="greaterThanOrEqual">
      <formula>$J$8</formula>
    </cfRule>
  </conditionalFormatting>
  <conditionalFormatting sqref="AV534 AX534 AZ534 BB534">
    <cfRule type="cellIs" dxfId="980" priority="985" stopIfTrue="1" operator="lessThanOrEqual">
      <formula>#REF!</formula>
    </cfRule>
    <cfRule type="cellIs" dxfId="979" priority="986" stopIfTrue="1" operator="between">
      <formula>#REF!</formula>
      <formula>#REF!</formula>
    </cfRule>
    <cfRule type="cellIs" dxfId="978" priority="987" stopIfTrue="1" operator="greaterThanOrEqual">
      <formula>#REF!</formula>
    </cfRule>
  </conditionalFormatting>
  <conditionalFormatting sqref="AY537">
    <cfRule type="cellIs" dxfId="977" priority="982" stopIfTrue="1" operator="lessThanOrEqual">
      <formula>$I$8</formula>
    </cfRule>
    <cfRule type="cellIs" dxfId="976" priority="983" stopIfTrue="1" operator="between">
      <formula>$I$8</formula>
      <formula>$J$8</formula>
    </cfRule>
    <cfRule type="cellIs" dxfId="975" priority="984" stopIfTrue="1" operator="greaterThanOrEqual">
      <formula>$J$8</formula>
    </cfRule>
  </conditionalFormatting>
  <conditionalFormatting sqref="AY537">
    <cfRule type="cellIs" dxfId="974" priority="979" stopIfTrue="1" operator="lessThanOrEqual">
      <formula>#REF!</formula>
    </cfRule>
    <cfRule type="cellIs" dxfId="973" priority="980" stopIfTrue="1" operator="between">
      <formula>#REF!</formula>
      <formula>#REF!</formula>
    </cfRule>
    <cfRule type="cellIs" dxfId="972" priority="981" stopIfTrue="1" operator="greaterThanOrEqual">
      <formula>#REF!</formula>
    </cfRule>
  </conditionalFormatting>
  <conditionalFormatting sqref="AU629:BB629">
    <cfRule type="cellIs" dxfId="971" priority="976" stopIfTrue="1" operator="lessThanOrEqual">
      <formula>$I$8</formula>
    </cfRule>
    <cfRule type="cellIs" dxfId="970" priority="977" stopIfTrue="1" operator="between">
      <formula>$I$8</formula>
      <formula>$J$8</formula>
    </cfRule>
    <cfRule type="cellIs" dxfId="969" priority="978" stopIfTrue="1" operator="greaterThanOrEqual">
      <formula>$J$8</formula>
    </cfRule>
  </conditionalFormatting>
  <conditionalFormatting sqref="AU629:BB629">
    <cfRule type="cellIs" dxfId="968" priority="973" stopIfTrue="1" operator="lessThanOrEqual">
      <formula>#REF!</formula>
    </cfRule>
    <cfRule type="cellIs" dxfId="967" priority="974" stopIfTrue="1" operator="between">
      <formula>#REF!</formula>
      <formula>#REF!</formula>
    </cfRule>
    <cfRule type="cellIs" dxfId="966" priority="975" stopIfTrue="1" operator="greaterThanOrEqual">
      <formula>#REF!</formula>
    </cfRule>
  </conditionalFormatting>
  <conditionalFormatting sqref="AU632:BB632">
    <cfRule type="cellIs" dxfId="965" priority="970" stopIfTrue="1" operator="lessThanOrEqual">
      <formula>$I$8</formula>
    </cfRule>
    <cfRule type="cellIs" dxfId="964" priority="971" stopIfTrue="1" operator="between">
      <formula>$I$8</formula>
      <formula>$J$8</formula>
    </cfRule>
    <cfRule type="cellIs" dxfId="963" priority="972" stopIfTrue="1" operator="greaterThanOrEqual">
      <formula>$J$8</formula>
    </cfRule>
  </conditionalFormatting>
  <conditionalFormatting sqref="AU632:BB632">
    <cfRule type="cellIs" dxfId="962" priority="967" stopIfTrue="1" operator="lessThanOrEqual">
      <formula>#REF!</formula>
    </cfRule>
    <cfRule type="cellIs" dxfId="961" priority="968" stopIfTrue="1" operator="between">
      <formula>#REF!</formula>
      <formula>#REF!</formula>
    </cfRule>
    <cfRule type="cellIs" dxfId="960" priority="969" stopIfTrue="1" operator="greaterThanOrEqual">
      <formula>#REF!</formula>
    </cfRule>
  </conditionalFormatting>
  <conditionalFormatting sqref="AU635:BB635">
    <cfRule type="cellIs" dxfId="959" priority="964" stopIfTrue="1" operator="lessThanOrEqual">
      <formula>$I$8</formula>
    </cfRule>
    <cfRule type="cellIs" dxfId="958" priority="965" stopIfTrue="1" operator="between">
      <formula>$I$8</formula>
      <formula>$J$8</formula>
    </cfRule>
    <cfRule type="cellIs" dxfId="957" priority="966" stopIfTrue="1" operator="greaterThanOrEqual">
      <formula>$J$8</formula>
    </cfRule>
  </conditionalFormatting>
  <conditionalFormatting sqref="AU635:BB635">
    <cfRule type="cellIs" dxfId="956" priority="961" stopIfTrue="1" operator="lessThanOrEqual">
      <formula>#REF!</formula>
    </cfRule>
    <cfRule type="cellIs" dxfId="955" priority="962" stopIfTrue="1" operator="between">
      <formula>#REF!</formula>
      <formula>#REF!</formula>
    </cfRule>
    <cfRule type="cellIs" dxfId="954" priority="963" stopIfTrue="1" operator="greaterThanOrEqual">
      <formula>#REF!</formula>
    </cfRule>
  </conditionalFormatting>
  <conditionalFormatting sqref="AU638:BB638">
    <cfRule type="cellIs" dxfId="953" priority="952" stopIfTrue="1" operator="lessThanOrEqual">
      <formula>$I$8</formula>
    </cfRule>
    <cfRule type="cellIs" dxfId="952" priority="953" stopIfTrue="1" operator="between">
      <formula>$I$8</formula>
      <formula>$J$8</formula>
    </cfRule>
    <cfRule type="cellIs" dxfId="951" priority="954" stopIfTrue="1" operator="greaterThanOrEqual">
      <formula>$J$8</formula>
    </cfRule>
  </conditionalFormatting>
  <conditionalFormatting sqref="AU638:BB638">
    <cfRule type="cellIs" dxfId="950" priority="949" stopIfTrue="1" operator="lessThanOrEqual">
      <formula>#REF!</formula>
    </cfRule>
    <cfRule type="cellIs" dxfId="949" priority="950" stopIfTrue="1" operator="between">
      <formula>#REF!</formula>
      <formula>#REF!</formula>
    </cfRule>
    <cfRule type="cellIs" dxfId="948" priority="951" stopIfTrue="1" operator="greaterThanOrEqual">
      <formula>#REF!</formula>
    </cfRule>
  </conditionalFormatting>
  <conditionalFormatting sqref="AU641:BB641">
    <cfRule type="cellIs" dxfId="947" priority="946" stopIfTrue="1" operator="lessThanOrEqual">
      <formula>$I$8</formula>
    </cfRule>
    <cfRule type="cellIs" dxfId="946" priority="947" stopIfTrue="1" operator="between">
      <formula>$I$8</formula>
      <formula>$J$8</formula>
    </cfRule>
    <cfRule type="cellIs" dxfId="945" priority="948" stopIfTrue="1" operator="greaterThanOrEqual">
      <formula>$J$8</formula>
    </cfRule>
  </conditionalFormatting>
  <conditionalFormatting sqref="AU641:BB641">
    <cfRule type="cellIs" dxfId="944" priority="943" stopIfTrue="1" operator="lessThanOrEqual">
      <formula>#REF!</formula>
    </cfRule>
    <cfRule type="cellIs" dxfId="943" priority="944" stopIfTrue="1" operator="between">
      <formula>#REF!</formula>
      <formula>#REF!</formula>
    </cfRule>
    <cfRule type="cellIs" dxfId="942" priority="945" stopIfTrue="1" operator="greaterThanOrEqual">
      <formula>#REF!</formula>
    </cfRule>
  </conditionalFormatting>
  <conditionalFormatting sqref="AU644:BB644">
    <cfRule type="cellIs" dxfId="941" priority="940" stopIfTrue="1" operator="lessThanOrEqual">
      <formula>$I$8</formula>
    </cfRule>
    <cfRule type="cellIs" dxfId="940" priority="941" stopIfTrue="1" operator="between">
      <formula>$I$8</formula>
      <formula>$J$8</formula>
    </cfRule>
    <cfRule type="cellIs" dxfId="939" priority="942" stopIfTrue="1" operator="greaterThanOrEqual">
      <formula>$J$8</formula>
    </cfRule>
  </conditionalFormatting>
  <conditionalFormatting sqref="AU644:BB644">
    <cfRule type="cellIs" dxfId="938" priority="937" stopIfTrue="1" operator="lessThanOrEqual">
      <formula>#REF!</formula>
    </cfRule>
    <cfRule type="cellIs" dxfId="937" priority="938" stopIfTrue="1" operator="between">
      <formula>#REF!</formula>
      <formula>#REF!</formula>
    </cfRule>
    <cfRule type="cellIs" dxfId="936" priority="939" stopIfTrue="1" operator="greaterThanOrEqual">
      <formula>#REF!</formula>
    </cfRule>
  </conditionalFormatting>
  <conditionalFormatting sqref="AU647:BB647">
    <cfRule type="cellIs" dxfId="935" priority="934" stopIfTrue="1" operator="lessThanOrEqual">
      <formula>$I$8</formula>
    </cfRule>
    <cfRule type="cellIs" dxfId="934" priority="935" stopIfTrue="1" operator="between">
      <formula>$I$8</formula>
      <formula>$J$8</formula>
    </cfRule>
    <cfRule type="cellIs" dxfId="933" priority="936" stopIfTrue="1" operator="greaterThanOrEqual">
      <formula>$J$8</formula>
    </cfRule>
  </conditionalFormatting>
  <conditionalFormatting sqref="AU647:BB647">
    <cfRule type="cellIs" dxfId="932" priority="931" stopIfTrue="1" operator="lessThanOrEqual">
      <formula>#REF!</formula>
    </cfRule>
    <cfRule type="cellIs" dxfId="931" priority="932" stopIfTrue="1" operator="between">
      <formula>#REF!</formula>
      <formula>#REF!</formula>
    </cfRule>
    <cfRule type="cellIs" dxfId="930" priority="933" stopIfTrue="1" operator="greaterThanOrEqual">
      <formula>#REF!</formula>
    </cfRule>
  </conditionalFormatting>
  <conditionalFormatting sqref="AV684:AX684 AZ684:BB684">
    <cfRule type="cellIs" dxfId="929" priority="928" stopIfTrue="1" operator="lessThanOrEqual">
      <formula>$I$8</formula>
    </cfRule>
    <cfRule type="cellIs" dxfId="928" priority="929" stopIfTrue="1" operator="between">
      <formula>$I$8</formula>
      <formula>$J$8</formula>
    </cfRule>
    <cfRule type="cellIs" dxfId="927" priority="930" stopIfTrue="1" operator="greaterThanOrEqual">
      <formula>$J$8</formula>
    </cfRule>
  </conditionalFormatting>
  <conditionalFormatting sqref="AV684:AX684 AZ684:BB684">
    <cfRule type="cellIs" dxfId="926" priority="925" stopIfTrue="1" operator="lessThanOrEqual">
      <formula>#REF!</formula>
    </cfRule>
    <cfRule type="cellIs" dxfId="925" priority="926" stopIfTrue="1" operator="between">
      <formula>#REF!</formula>
      <formula>#REF!</formula>
    </cfRule>
    <cfRule type="cellIs" dxfId="924" priority="927" stopIfTrue="1" operator="greaterThanOrEqual">
      <formula>#REF!</formula>
    </cfRule>
  </conditionalFormatting>
  <conditionalFormatting sqref="AU650:BB650">
    <cfRule type="cellIs" dxfId="923" priority="922" stopIfTrue="1" operator="lessThanOrEqual">
      <formula>$I$8</formula>
    </cfRule>
    <cfRule type="cellIs" dxfId="922" priority="923" stopIfTrue="1" operator="between">
      <formula>$I$8</formula>
      <formula>$J$8</formula>
    </cfRule>
    <cfRule type="cellIs" dxfId="921" priority="924" stopIfTrue="1" operator="greaterThanOrEqual">
      <formula>$J$8</formula>
    </cfRule>
  </conditionalFormatting>
  <conditionalFormatting sqref="AU650:BB650">
    <cfRule type="cellIs" dxfId="920" priority="919" stopIfTrue="1" operator="lessThanOrEqual">
      <formula>#REF!</formula>
    </cfRule>
    <cfRule type="cellIs" dxfId="919" priority="920" stopIfTrue="1" operator="between">
      <formula>#REF!</formula>
      <formula>#REF!</formula>
    </cfRule>
    <cfRule type="cellIs" dxfId="918" priority="921" stopIfTrue="1" operator="greaterThanOrEqual">
      <formula>#REF!</formula>
    </cfRule>
  </conditionalFormatting>
  <conditionalFormatting sqref="AU711:BB711">
    <cfRule type="cellIs" dxfId="917" priority="916" stopIfTrue="1" operator="lessThanOrEqual">
      <formula>$I$8</formula>
    </cfRule>
    <cfRule type="cellIs" dxfId="916" priority="917" stopIfTrue="1" operator="between">
      <formula>$I$8</formula>
      <formula>$J$8</formula>
    </cfRule>
    <cfRule type="cellIs" dxfId="915" priority="918" stopIfTrue="1" operator="greaterThanOrEqual">
      <formula>$J$8</formula>
    </cfRule>
  </conditionalFormatting>
  <conditionalFormatting sqref="AU711:BB711">
    <cfRule type="cellIs" dxfId="914" priority="913" stopIfTrue="1" operator="lessThanOrEqual">
      <formula>#REF!</formula>
    </cfRule>
    <cfRule type="cellIs" dxfId="913" priority="914" stopIfTrue="1" operator="between">
      <formula>#REF!</formula>
      <formula>#REF!</formula>
    </cfRule>
    <cfRule type="cellIs" dxfId="912" priority="915" stopIfTrue="1" operator="greaterThanOrEqual">
      <formula>#REF!</formula>
    </cfRule>
  </conditionalFormatting>
  <conditionalFormatting sqref="AU663:BB663">
    <cfRule type="cellIs" dxfId="911" priority="910" stopIfTrue="1" operator="lessThanOrEqual">
      <formula>$I$8</formula>
    </cfRule>
    <cfRule type="cellIs" dxfId="910" priority="911" stopIfTrue="1" operator="between">
      <formula>$I$8</formula>
      <formula>$J$8</formula>
    </cfRule>
    <cfRule type="cellIs" dxfId="909" priority="912" stopIfTrue="1" operator="greaterThanOrEqual">
      <formula>$J$8</formula>
    </cfRule>
  </conditionalFormatting>
  <conditionalFormatting sqref="AU663:BB663">
    <cfRule type="cellIs" dxfId="908" priority="907" stopIfTrue="1" operator="lessThanOrEqual">
      <formula>#REF!</formula>
    </cfRule>
    <cfRule type="cellIs" dxfId="907" priority="908" stopIfTrue="1" operator="between">
      <formula>#REF!</formula>
      <formula>#REF!</formula>
    </cfRule>
    <cfRule type="cellIs" dxfId="906" priority="909" stopIfTrue="1" operator="greaterThanOrEqual">
      <formula>#REF!</formula>
    </cfRule>
  </conditionalFormatting>
  <conditionalFormatting sqref="AU666:BB666">
    <cfRule type="cellIs" dxfId="905" priority="904" stopIfTrue="1" operator="lessThanOrEqual">
      <formula>$I$8</formula>
    </cfRule>
    <cfRule type="cellIs" dxfId="904" priority="905" stopIfTrue="1" operator="between">
      <formula>$I$8</formula>
      <formula>$J$8</formula>
    </cfRule>
    <cfRule type="cellIs" dxfId="903" priority="906" stopIfTrue="1" operator="greaterThanOrEqual">
      <formula>$J$8</formula>
    </cfRule>
  </conditionalFormatting>
  <conditionalFormatting sqref="AU666:BB666">
    <cfRule type="cellIs" dxfId="902" priority="901" stopIfTrue="1" operator="lessThanOrEqual">
      <formula>#REF!</formula>
    </cfRule>
    <cfRule type="cellIs" dxfId="901" priority="902" stopIfTrue="1" operator="between">
      <formula>#REF!</formula>
      <formula>#REF!</formula>
    </cfRule>
    <cfRule type="cellIs" dxfId="900" priority="903" stopIfTrue="1" operator="greaterThanOrEqual">
      <formula>#REF!</formula>
    </cfRule>
  </conditionalFormatting>
  <conditionalFormatting sqref="AU687:BB687">
    <cfRule type="cellIs" dxfId="899" priority="898" stopIfTrue="1" operator="lessThanOrEqual">
      <formula>$I$8</formula>
    </cfRule>
    <cfRule type="cellIs" dxfId="898" priority="899" stopIfTrue="1" operator="between">
      <formula>$I$8</formula>
      <formula>$J$8</formula>
    </cfRule>
    <cfRule type="cellIs" dxfId="897" priority="900" stopIfTrue="1" operator="greaterThanOrEqual">
      <formula>$J$8</formula>
    </cfRule>
  </conditionalFormatting>
  <conditionalFormatting sqref="AU687:BB687">
    <cfRule type="cellIs" dxfId="896" priority="895" stopIfTrue="1" operator="lessThanOrEqual">
      <formula>#REF!</formula>
    </cfRule>
    <cfRule type="cellIs" dxfId="895" priority="896" stopIfTrue="1" operator="between">
      <formula>#REF!</formula>
      <formula>#REF!</formula>
    </cfRule>
    <cfRule type="cellIs" dxfId="894" priority="897" stopIfTrue="1" operator="greaterThanOrEqual">
      <formula>#REF!</formula>
    </cfRule>
  </conditionalFormatting>
  <conditionalFormatting sqref="AU690:BB690">
    <cfRule type="cellIs" dxfId="893" priority="892" stopIfTrue="1" operator="lessThanOrEqual">
      <formula>$I$8</formula>
    </cfRule>
    <cfRule type="cellIs" dxfId="892" priority="893" stopIfTrue="1" operator="between">
      <formula>$I$8</formula>
      <formula>$J$8</formula>
    </cfRule>
    <cfRule type="cellIs" dxfId="891" priority="894" stopIfTrue="1" operator="greaterThanOrEqual">
      <formula>$J$8</formula>
    </cfRule>
  </conditionalFormatting>
  <conditionalFormatting sqref="AU690:BB690">
    <cfRule type="cellIs" dxfId="890" priority="889" stopIfTrue="1" operator="lessThanOrEqual">
      <formula>#REF!</formula>
    </cfRule>
    <cfRule type="cellIs" dxfId="889" priority="890" stopIfTrue="1" operator="between">
      <formula>#REF!</formula>
      <formula>#REF!</formula>
    </cfRule>
    <cfRule type="cellIs" dxfId="888" priority="891" stopIfTrue="1" operator="greaterThanOrEqual">
      <formula>#REF!</formula>
    </cfRule>
  </conditionalFormatting>
  <conditionalFormatting sqref="AU693:BB693">
    <cfRule type="cellIs" dxfId="887" priority="886" stopIfTrue="1" operator="lessThanOrEqual">
      <formula>$I$8</formula>
    </cfRule>
    <cfRule type="cellIs" dxfId="886" priority="887" stopIfTrue="1" operator="between">
      <formula>$I$8</formula>
      <formula>$J$8</formula>
    </cfRule>
    <cfRule type="cellIs" dxfId="885" priority="888" stopIfTrue="1" operator="greaterThanOrEqual">
      <formula>$J$8</formula>
    </cfRule>
  </conditionalFormatting>
  <conditionalFormatting sqref="AU693:BB693">
    <cfRule type="cellIs" dxfId="884" priority="883" stopIfTrue="1" operator="lessThanOrEqual">
      <formula>#REF!</formula>
    </cfRule>
    <cfRule type="cellIs" dxfId="883" priority="884" stopIfTrue="1" operator="between">
      <formula>#REF!</formula>
      <formula>#REF!</formula>
    </cfRule>
    <cfRule type="cellIs" dxfId="882" priority="885" stopIfTrue="1" operator="greaterThanOrEqual">
      <formula>#REF!</formula>
    </cfRule>
  </conditionalFormatting>
  <conditionalFormatting sqref="AU696:BB696">
    <cfRule type="cellIs" dxfId="881" priority="880" stopIfTrue="1" operator="lessThanOrEqual">
      <formula>$I$8</formula>
    </cfRule>
    <cfRule type="cellIs" dxfId="880" priority="881" stopIfTrue="1" operator="between">
      <formula>$I$8</formula>
      <formula>$J$8</formula>
    </cfRule>
    <cfRule type="cellIs" dxfId="879" priority="882" stopIfTrue="1" operator="greaterThanOrEqual">
      <formula>$J$8</formula>
    </cfRule>
  </conditionalFormatting>
  <conditionalFormatting sqref="AU696:BB696">
    <cfRule type="cellIs" dxfId="878" priority="877" stopIfTrue="1" operator="lessThanOrEqual">
      <formula>#REF!</formula>
    </cfRule>
    <cfRule type="cellIs" dxfId="877" priority="878" stopIfTrue="1" operator="between">
      <formula>#REF!</formula>
      <formula>#REF!</formula>
    </cfRule>
    <cfRule type="cellIs" dxfId="876" priority="879" stopIfTrue="1" operator="greaterThanOrEqual">
      <formula>#REF!</formula>
    </cfRule>
  </conditionalFormatting>
  <conditionalFormatting sqref="AU699:BB699">
    <cfRule type="cellIs" dxfId="875" priority="874" stopIfTrue="1" operator="lessThanOrEqual">
      <formula>$I$8</formula>
    </cfRule>
    <cfRule type="cellIs" dxfId="874" priority="875" stopIfTrue="1" operator="between">
      <formula>$I$8</formula>
      <formula>$J$8</formula>
    </cfRule>
    <cfRule type="cellIs" dxfId="873" priority="876" stopIfTrue="1" operator="greaterThanOrEqual">
      <formula>$J$8</formula>
    </cfRule>
  </conditionalFormatting>
  <conditionalFormatting sqref="AU699:BB699">
    <cfRule type="cellIs" dxfId="872" priority="871" stopIfTrue="1" operator="lessThanOrEqual">
      <formula>#REF!</formula>
    </cfRule>
    <cfRule type="cellIs" dxfId="871" priority="872" stopIfTrue="1" operator="between">
      <formula>#REF!</formula>
      <formula>#REF!</formula>
    </cfRule>
    <cfRule type="cellIs" dxfId="870" priority="873" stopIfTrue="1" operator="greaterThanOrEqual">
      <formula>#REF!</formula>
    </cfRule>
  </conditionalFormatting>
  <conditionalFormatting sqref="AU702:BB702">
    <cfRule type="cellIs" dxfId="869" priority="868" stopIfTrue="1" operator="lessThanOrEqual">
      <formula>$I$8</formula>
    </cfRule>
    <cfRule type="cellIs" dxfId="868" priority="869" stopIfTrue="1" operator="between">
      <formula>$I$8</formula>
      <formula>$J$8</formula>
    </cfRule>
    <cfRule type="cellIs" dxfId="867" priority="870" stopIfTrue="1" operator="greaterThanOrEqual">
      <formula>$J$8</formula>
    </cfRule>
  </conditionalFormatting>
  <conditionalFormatting sqref="AU702:BB702">
    <cfRule type="cellIs" dxfId="866" priority="865" stopIfTrue="1" operator="lessThanOrEqual">
      <formula>#REF!</formula>
    </cfRule>
    <cfRule type="cellIs" dxfId="865" priority="866" stopIfTrue="1" operator="between">
      <formula>#REF!</formula>
      <formula>#REF!</formula>
    </cfRule>
    <cfRule type="cellIs" dxfId="864" priority="867" stopIfTrue="1" operator="greaterThanOrEqual">
      <formula>#REF!</formula>
    </cfRule>
  </conditionalFormatting>
  <conditionalFormatting sqref="AU705:BB705">
    <cfRule type="cellIs" dxfId="863" priority="862" stopIfTrue="1" operator="lessThanOrEqual">
      <formula>$I$8</formula>
    </cfRule>
    <cfRule type="cellIs" dxfId="862" priority="863" stopIfTrue="1" operator="between">
      <formula>$I$8</formula>
      <formula>$J$8</formula>
    </cfRule>
    <cfRule type="cellIs" dxfId="861" priority="864" stopIfTrue="1" operator="greaterThanOrEqual">
      <formula>$J$8</formula>
    </cfRule>
  </conditionalFormatting>
  <conditionalFormatting sqref="AU705:BB705">
    <cfRule type="cellIs" dxfId="860" priority="859" stopIfTrue="1" operator="lessThanOrEqual">
      <formula>#REF!</formula>
    </cfRule>
    <cfRule type="cellIs" dxfId="859" priority="860" stopIfTrue="1" operator="between">
      <formula>#REF!</formula>
      <formula>#REF!</formula>
    </cfRule>
    <cfRule type="cellIs" dxfId="858" priority="861" stopIfTrue="1" operator="greaterThanOrEqual">
      <formula>#REF!</formula>
    </cfRule>
  </conditionalFormatting>
  <conditionalFormatting sqref="AU708:BB708">
    <cfRule type="cellIs" dxfId="857" priority="856" stopIfTrue="1" operator="lessThanOrEqual">
      <formula>$I$8</formula>
    </cfRule>
    <cfRule type="cellIs" dxfId="856" priority="857" stopIfTrue="1" operator="between">
      <formula>$I$8</formula>
      <formula>$J$8</formula>
    </cfRule>
    <cfRule type="cellIs" dxfId="855" priority="858" stopIfTrue="1" operator="greaterThanOrEqual">
      <formula>$J$8</formula>
    </cfRule>
  </conditionalFormatting>
  <conditionalFormatting sqref="AU708:BB708">
    <cfRule type="cellIs" dxfId="854" priority="853" stopIfTrue="1" operator="lessThanOrEqual">
      <formula>#REF!</formula>
    </cfRule>
    <cfRule type="cellIs" dxfId="853" priority="854" stopIfTrue="1" operator="between">
      <formula>#REF!</formula>
      <formula>#REF!</formula>
    </cfRule>
    <cfRule type="cellIs" dxfId="852" priority="855" stopIfTrue="1" operator="greaterThanOrEqual">
      <formula>#REF!</formula>
    </cfRule>
  </conditionalFormatting>
  <conditionalFormatting sqref="AA701">
    <cfRule type="cellIs" dxfId="851" priority="850" stopIfTrue="1" operator="lessThanOrEqual">
      <formula>$I$8</formula>
    </cfRule>
    <cfRule type="cellIs" dxfId="850" priority="851" stopIfTrue="1" operator="between">
      <formula>$I$8</formula>
      <formula>$J$8</formula>
    </cfRule>
    <cfRule type="cellIs" dxfId="849" priority="852" stopIfTrue="1" operator="greaterThanOrEqual">
      <formula>$J$8</formula>
    </cfRule>
  </conditionalFormatting>
  <conditionalFormatting sqref="AA701">
    <cfRule type="cellIs" dxfId="848" priority="847" stopIfTrue="1" operator="lessThanOrEqual">
      <formula>#REF!</formula>
    </cfRule>
    <cfRule type="cellIs" dxfId="847" priority="848" stopIfTrue="1" operator="between">
      <formula>#REF!</formula>
      <formula>#REF!</formula>
    </cfRule>
    <cfRule type="cellIs" dxfId="846" priority="849" stopIfTrue="1" operator="greaterThanOrEqual">
      <formula>#REF!</formula>
    </cfRule>
  </conditionalFormatting>
  <conditionalFormatting sqref="Z347:AC347">
    <cfRule type="cellIs" dxfId="845" priority="844" stopIfTrue="1" operator="lessThanOrEqual">
      <formula>$I$8</formula>
    </cfRule>
    <cfRule type="cellIs" dxfId="844" priority="845" stopIfTrue="1" operator="between">
      <formula>$I$8</formula>
      <formula>$J$8</formula>
    </cfRule>
    <cfRule type="cellIs" dxfId="843" priority="846" stopIfTrue="1" operator="greaterThanOrEqual">
      <formula>$J$8</formula>
    </cfRule>
  </conditionalFormatting>
  <conditionalFormatting sqref="Z347:AC347">
    <cfRule type="cellIs" dxfId="842" priority="841" stopIfTrue="1" operator="lessThanOrEqual">
      <formula>#REF!</formula>
    </cfRule>
    <cfRule type="cellIs" dxfId="841" priority="842" stopIfTrue="1" operator="between">
      <formula>#REF!</formula>
      <formula>#REF!</formula>
    </cfRule>
    <cfRule type="cellIs" dxfId="840" priority="843" stopIfTrue="1" operator="greaterThanOrEqual">
      <formula>#REF!</formula>
    </cfRule>
  </conditionalFormatting>
  <conditionalFormatting sqref="W141">
    <cfRule type="cellIs" dxfId="839" priority="712" stopIfTrue="1" operator="lessThanOrEqual">
      <formula>$I$8</formula>
    </cfRule>
    <cfRule type="cellIs" dxfId="838" priority="713" stopIfTrue="1" operator="between">
      <formula>$I$8</formula>
      <formula>$J$8</formula>
    </cfRule>
    <cfRule type="cellIs" dxfId="837" priority="714" stopIfTrue="1" operator="greaterThanOrEqual">
      <formula>$J$8</formula>
    </cfRule>
  </conditionalFormatting>
  <conditionalFormatting sqref="AC141">
    <cfRule type="cellIs" dxfId="836" priority="706" stopIfTrue="1" operator="lessThanOrEqual">
      <formula>$I$8</formula>
    </cfRule>
    <cfRule type="cellIs" dxfId="835" priority="707" stopIfTrue="1" operator="between">
      <formula>$I$8</formula>
      <formula>$J$8</formula>
    </cfRule>
    <cfRule type="cellIs" dxfId="834" priority="708" stopIfTrue="1" operator="greaterThanOrEqual">
      <formula>$J$8</formula>
    </cfRule>
  </conditionalFormatting>
  <conditionalFormatting sqref="X573">
    <cfRule type="cellIs" dxfId="833" priority="541" stopIfTrue="1" operator="lessThanOrEqual">
      <formula>$I$8</formula>
    </cfRule>
    <cfRule type="cellIs" dxfId="832" priority="542" stopIfTrue="1" operator="between">
      <formula>$I$8</formula>
      <formula>$J$8</formula>
    </cfRule>
    <cfRule type="cellIs" dxfId="831" priority="543" stopIfTrue="1" operator="greaterThanOrEqual">
      <formula>$J$8</formula>
    </cfRule>
  </conditionalFormatting>
  <conditionalFormatting sqref="W582">
    <cfRule type="cellIs" dxfId="830" priority="523" stopIfTrue="1" operator="lessThanOrEqual">
      <formula>$I$8</formula>
    </cfRule>
    <cfRule type="cellIs" dxfId="829" priority="524" stopIfTrue="1" operator="between">
      <formula>$I$8</formula>
      <formula>$J$8</formula>
    </cfRule>
    <cfRule type="cellIs" dxfId="828" priority="525" stopIfTrue="1" operator="greaterThanOrEqual">
      <formula>$J$8</formula>
    </cfRule>
  </conditionalFormatting>
  <conditionalFormatting sqref="AB573">
    <cfRule type="cellIs" dxfId="827" priority="529" stopIfTrue="1" operator="lessThanOrEqual">
      <formula>$I$8</formula>
    </cfRule>
    <cfRule type="cellIs" dxfId="826" priority="530" stopIfTrue="1" operator="between">
      <formula>$I$8</formula>
      <formula>$J$8</formula>
    </cfRule>
    <cfRule type="cellIs" dxfId="825" priority="531" stopIfTrue="1" operator="greaterThanOrEqual">
      <formula>$J$8</formula>
    </cfRule>
  </conditionalFormatting>
  <conditionalFormatting sqref="Y573">
    <cfRule type="cellIs" dxfId="824" priority="553" stopIfTrue="1" operator="lessThanOrEqual">
      <formula>$I$8</formula>
    </cfRule>
    <cfRule type="cellIs" dxfId="823" priority="554" stopIfTrue="1" operator="between">
      <formula>$I$8</formula>
      <formula>$J$8</formula>
    </cfRule>
    <cfRule type="cellIs" dxfId="822" priority="555" stopIfTrue="1" operator="greaterThanOrEqual">
      <formula>$J$8</formula>
    </cfRule>
  </conditionalFormatting>
  <conditionalFormatting sqref="AC573">
    <cfRule type="cellIs" dxfId="821" priority="547" stopIfTrue="1" operator="lessThanOrEqual">
      <formula>$I$8</formula>
    </cfRule>
    <cfRule type="cellIs" dxfId="820" priority="548" stopIfTrue="1" operator="between">
      <formula>$I$8</formula>
      <formula>$J$8</formula>
    </cfRule>
    <cfRule type="cellIs" dxfId="819" priority="549" stopIfTrue="1" operator="greaterThanOrEqual">
      <formula>$J$8</formula>
    </cfRule>
  </conditionalFormatting>
  <conditionalFormatting sqref="Z573">
    <cfRule type="cellIs" dxfId="818" priority="535" stopIfTrue="1" operator="lessThanOrEqual">
      <formula>$I$8</formula>
    </cfRule>
    <cfRule type="cellIs" dxfId="817" priority="536" stopIfTrue="1" operator="between">
      <formula>$I$8</formula>
      <formula>$J$8</formula>
    </cfRule>
    <cfRule type="cellIs" dxfId="816" priority="537" stopIfTrue="1" operator="greaterThanOrEqual">
      <formula>$J$8</formula>
    </cfRule>
  </conditionalFormatting>
  <conditionalFormatting sqref="AC573">
    <cfRule type="cellIs" dxfId="815" priority="544" stopIfTrue="1" operator="lessThanOrEqual">
      <formula>#REF!</formula>
    </cfRule>
    <cfRule type="cellIs" dxfId="814" priority="545" stopIfTrue="1" operator="between">
      <formula>#REF!</formula>
      <formula>#REF!</formula>
    </cfRule>
    <cfRule type="cellIs" dxfId="813" priority="546" stopIfTrue="1" operator="greaterThanOrEqual">
      <formula>#REF!</formula>
    </cfRule>
  </conditionalFormatting>
  <conditionalFormatting sqref="W573">
    <cfRule type="cellIs" dxfId="812" priority="559" stopIfTrue="1" operator="lessThanOrEqual">
      <formula>$I$8</formula>
    </cfRule>
    <cfRule type="cellIs" dxfId="811" priority="560" stopIfTrue="1" operator="between">
      <formula>$I$8</formula>
      <formula>$J$8</formula>
    </cfRule>
    <cfRule type="cellIs" dxfId="810" priority="561" stopIfTrue="1" operator="greaterThanOrEqual">
      <formula>$J$8</formula>
    </cfRule>
  </conditionalFormatting>
  <conditionalFormatting sqref="W573 AA573">
    <cfRule type="cellIs" dxfId="809" priority="556" stopIfTrue="1" operator="lessThanOrEqual">
      <formula>#REF!</formula>
    </cfRule>
    <cfRule type="cellIs" dxfId="808" priority="557" stopIfTrue="1" operator="between">
      <formula>#REF!</formula>
      <formula>#REF!</formula>
    </cfRule>
    <cfRule type="cellIs" dxfId="807" priority="558" stopIfTrue="1" operator="greaterThanOrEqual">
      <formula>#REF!</formula>
    </cfRule>
  </conditionalFormatting>
  <conditionalFormatting sqref="Y573">
    <cfRule type="cellIs" dxfId="806" priority="550" stopIfTrue="1" operator="lessThanOrEqual">
      <formula>#REF!</formula>
    </cfRule>
    <cfRule type="cellIs" dxfId="805" priority="551" stopIfTrue="1" operator="between">
      <formula>#REF!</formula>
      <formula>#REF!</formula>
    </cfRule>
    <cfRule type="cellIs" dxfId="804" priority="552" stopIfTrue="1" operator="greaterThanOrEqual">
      <formula>#REF!</formula>
    </cfRule>
  </conditionalFormatting>
  <conditionalFormatting sqref="Z573">
    <cfRule type="cellIs" dxfId="803" priority="532" stopIfTrue="1" operator="lessThanOrEqual">
      <formula>#REF!</formula>
    </cfRule>
    <cfRule type="cellIs" dxfId="802" priority="533" stopIfTrue="1" operator="between">
      <formula>#REF!</formula>
      <formula>#REF!</formula>
    </cfRule>
    <cfRule type="cellIs" dxfId="801" priority="534" stopIfTrue="1" operator="greaterThanOrEqual">
      <formula>#REF!</formula>
    </cfRule>
  </conditionalFormatting>
  <conditionalFormatting sqref="AB573">
    <cfRule type="cellIs" dxfId="800" priority="526" stopIfTrue="1" operator="lessThanOrEqual">
      <formula>#REF!</formula>
    </cfRule>
    <cfRule type="cellIs" dxfId="799" priority="527" stopIfTrue="1" operator="between">
      <formula>#REF!</formula>
      <formula>#REF!</formula>
    </cfRule>
    <cfRule type="cellIs" dxfId="798" priority="528" stopIfTrue="1" operator="greaterThanOrEqual">
      <formula>#REF!</formula>
    </cfRule>
  </conditionalFormatting>
  <conditionalFormatting sqref="AU616:AX616 AZ616:BB616">
    <cfRule type="cellIs" dxfId="797" priority="838" stopIfTrue="1" operator="lessThanOrEqual">
      <formula>$I$8</formula>
    </cfRule>
    <cfRule type="cellIs" dxfId="796" priority="839" stopIfTrue="1" operator="between">
      <formula>$I$8</formula>
      <formula>$J$8</formula>
    </cfRule>
    <cfRule type="cellIs" dxfId="795" priority="840" stopIfTrue="1" operator="greaterThanOrEqual">
      <formula>$J$8</formula>
    </cfRule>
  </conditionalFormatting>
  <conditionalFormatting sqref="AU616:AX616 AZ616:BB616">
    <cfRule type="cellIs" dxfId="794" priority="835" stopIfTrue="1" operator="lessThanOrEqual">
      <formula>#REF!</formula>
    </cfRule>
    <cfRule type="cellIs" dxfId="793" priority="836" stopIfTrue="1" operator="between">
      <formula>#REF!</formula>
      <formula>#REF!</formula>
    </cfRule>
    <cfRule type="cellIs" dxfId="792" priority="837" stopIfTrue="1" operator="greaterThanOrEqual">
      <formula>#REF!</formula>
    </cfRule>
  </conditionalFormatting>
  <conditionalFormatting sqref="AU550:BB550">
    <cfRule type="cellIs" dxfId="791" priority="832" stopIfTrue="1" operator="lessThanOrEqual">
      <formula>$I$8</formula>
    </cfRule>
    <cfRule type="cellIs" dxfId="790" priority="833" stopIfTrue="1" operator="between">
      <formula>$I$8</formula>
      <formula>$J$8</formula>
    </cfRule>
    <cfRule type="cellIs" dxfId="789" priority="834" stopIfTrue="1" operator="greaterThanOrEqual">
      <formula>$J$8</formula>
    </cfRule>
  </conditionalFormatting>
  <conditionalFormatting sqref="AU550:BB550">
    <cfRule type="cellIs" dxfId="788" priority="829" stopIfTrue="1" operator="lessThanOrEqual">
      <formula>#REF!</formula>
    </cfRule>
    <cfRule type="cellIs" dxfId="787" priority="830" stopIfTrue="1" operator="between">
      <formula>#REF!</formula>
      <formula>#REF!</formula>
    </cfRule>
    <cfRule type="cellIs" dxfId="786" priority="831" stopIfTrue="1" operator="greaterThanOrEqual">
      <formula>#REF!</formula>
    </cfRule>
  </conditionalFormatting>
  <conditionalFormatting sqref="AV553:AX553 AZ553:BB553">
    <cfRule type="cellIs" dxfId="785" priority="826" stopIfTrue="1" operator="lessThanOrEqual">
      <formula>$I$8</formula>
    </cfRule>
    <cfRule type="cellIs" dxfId="784" priority="827" stopIfTrue="1" operator="between">
      <formula>$I$8</formula>
      <formula>$J$8</formula>
    </cfRule>
    <cfRule type="cellIs" dxfId="783" priority="828" stopIfTrue="1" operator="greaterThanOrEqual">
      <formula>$J$8</formula>
    </cfRule>
  </conditionalFormatting>
  <conditionalFormatting sqref="AV553:AX553 AZ553:BB553">
    <cfRule type="cellIs" dxfId="782" priority="823" stopIfTrue="1" operator="lessThanOrEqual">
      <formula>#REF!</formula>
    </cfRule>
    <cfRule type="cellIs" dxfId="781" priority="824" stopIfTrue="1" operator="between">
      <formula>#REF!</formula>
      <formula>#REF!</formula>
    </cfRule>
    <cfRule type="cellIs" dxfId="780" priority="825" stopIfTrue="1" operator="greaterThanOrEqual">
      <formula>#REF!</formula>
    </cfRule>
  </conditionalFormatting>
  <conditionalFormatting sqref="AW562 BA562">
    <cfRule type="cellIs" dxfId="779" priority="820" stopIfTrue="1" operator="lessThanOrEqual">
      <formula>$I$8</formula>
    </cfRule>
    <cfRule type="cellIs" dxfId="778" priority="821" stopIfTrue="1" operator="between">
      <formula>$I$8</formula>
      <formula>$J$8</formula>
    </cfRule>
    <cfRule type="cellIs" dxfId="777" priority="822" stopIfTrue="1" operator="greaterThanOrEqual">
      <formula>$J$8</formula>
    </cfRule>
  </conditionalFormatting>
  <conditionalFormatting sqref="AW562 BA562">
    <cfRule type="cellIs" dxfId="776" priority="817" stopIfTrue="1" operator="lessThanOrEqual">
      <formula>#REF!</formula>
    </cfRule>
    <cfRule type="cellIs" dxfId="775" priority="818" stopIfTrue="1" operator="between">
      <formula>#REF!</formula>
      <formula>#REF!</formula>
    </cfRule>
    <cfRule type="cellIs" dxfId="774" priority="819" stopIfTrue="1" operator="greaterThanOrEqual">
      <formula>#REF!</formula>
    </cfRule>
  </conditionalFormatting>
  <conditionalFormatting sqref="AV565 AZ565">
    <cfRule type="cellIs" dxfId="773" priority="814" stopIfTrue="1" operator="lessThanOrEqual">
      <formula>$I$8</formula>
    </cfRule>
    <cfRule type="cellIs" dxfId="772" priority="815" stopIfTrue="1" operator="between">
      <formula>$I$8</formula>
      <formula>$J$8</formula>
    </cfRule>
    <cfRule type="cellIs" dxfId="771" priority="816" stopIfTrue="1" operator="greaterThanOrEqual">
      <formula>$J$8</formula>
    </cfRule>
  </conditionalFormatting>
  <conditionalFormatting sqref="AV565 AZ565">
    <cfRule type="cellIs" dxfId="770" priority="811" stopIfTrue="1" operator="lessThanOrEqual">
      <formula>#REF!</formula>
    </cfRule>
    <cfRule type="cellIs" dxfId="769" priority="812" stopIfTrue="1" operator="between">
      <formula>#REF!</formula>
      <formula>#REF!</formula>
    </cfRule>
    <cfRule type="cellIs" dxfId="768" priority="813" stopIfTrue="1" operator="greaterThanOrEqual">
      <formula>#REF!</formula>
    </cfRule>
  </conditionalFormatting>
  <conditionalFormatting sqref="AV568 AX568 AZ568 BB568">
    <cfRule type="cellIs" dxfId="767" priority="808" stopIfTrue="1" operator="lessThanOrEqual">
      <formula>$I$8</formula>
    </cfRule>
    <cfRule type="cellIs" dxfId="766" priority="809" stopIfTrue="1" operator="between">
      <formula>$I$8</formula>
      <formula>$J$8</formula>
    </cfRule>
    <cfRule type="cellIs" dxfId="765" priority="810" stopIfTrue="1" operator="greaterThanOrEqual">
      <formula>$J$8</formula>
    </cfRule>
  </conditionalFormatting>
  <conditionalFormatting sqref="AV568 AX568 AZ568 BB568">
    <cfRule type="cellIs" dxfId="764" priority="805" stopIfTrue="1" operator="lessThanOrEqual">
      <formula>#REF!</formula>
    </cfRule>
    <cfRule type="cellIs" dxfId="763" priority="806" stopIfTrue="1" operator="between">
      <formula>#REF!</formula>
      <formula>#REF!</formula>
    </cfRule>
    <cfRule type="cellIs" dxfId="762" priority="807" stopIfTrue="1" operator="greaterThanOrEqual">
      <formula>#REF!</formula>
    </cfRule>
  </conditionalFormatting>
  <conditionalFormatting sqref="AU571:BB571">
    <cfRule type="cellIs" dxfId="761" priority="802" stopIfTrue="1" operator="lessThanOrEqual">
      <formula>$I$8</formula>
    </cfRule>
    <cfRule type="cellIs" dxfId="760" priority="803" stopIfTrue="1" operator="between">
      <formula>$I$8</formula>
      <formula>$J$8</formula>
    </cfRule>
    <cfRule type="cellIs" dxfId="759" priority="804" stopIfTrue="1" operator="greaterThanOrEqual">
      <formula>$J$8</formula>
    </cfRule>
  </conditionalFormatting>
  <conditionalFormatting sqref="AU571:BB571">
    <cfRule type="cellIs" dxfId="758" priority="799" stopIfTrue="1" operator="lessThanOrEqual">
      <formula>#REF!</formula>
    </cfRule>
    <cfRule type="cellIs" dxfId="757" priority="800" stopIfTrue="1" operator="between">
      <formula>#REF!</formula>
      <formula>#REF!</formula>
    </cfRule>
    <cfRule type="cellIs" dxfId="756" priority="801" stopIfTrue="1" operator="greaterThanOrEqual">
      <formula>#REF!</formula>
    </cfRule>
  </conditionalFormatting>
  <conditionalFormatting sqref="AU580:BB580">
    <cfRule type="cellIs" dxfId="755" priority="796" stopIfTrue="1" operator="lessThanOrEqual">
      <formula>$I$8</formula>
    </cfRule>
    <cfRule type="cellIs" dxfId="754" priority="797" stopIfTrue="1" operator="between">
      <formula>$I$8</formula>
      <formula>$J$8</formula>
    </cfRule>
    <cfRule type="cellIs" dxfId="753" priority="798" stopIfTrue="1" operator="greaterThanOrEqual">
      <formula>$J$8</formula>
    </cfRule>
  </conditionalFormatting>
  <conditionalFormatting sqref="AU580:BB580">
    <cfRule type="cellIs" dxfId="752" priority="793" stopIfTrue="1" operator="lessThanOrEqual">
      <formula>#REF!</formula>
    </cfRule>
    <cfRule type="cellIs" dxfId="751" priority="794" stopIfTrue="1" operator="between">
      <formula>#REF!</formula>
      <formula>#REF!</formula>
    </cfRule>
    <cfRule type="cellIs" dxfId="750" priority="795" stopIfTrue="1" operator="greaterThanOrEqual">
      <formula>#REF!</formula>
    </cfRule>
  </conditionalFormatting>
  <conditionalFormatting sqref="AV583:AX583 AZ583:BB583">
    <cfRule type="cellIs" dxfId="749" priority="790" stopIfTrue="1" operator="lessThanOrEqual">
      <formula>$I$8</formula>
    </cfRule>
    <cfRule type="cellIs" dxfId="748" priority="791" stopIfTrue="1" operator="between">
      <formula>$I$8</formula>
      <formula>$J$8</formula>
    </cfRule>
    <cfRule type="cellIs" dxfId="747" priority="792" stopIfTrue="1" operator="greaterThanOrEqual">
      <formula>$J$8</formula>
    </cfRule>
  </conditionalFormatting>
  <conditionalFormatting sqref="AV583:AX583 AZ583:BB583">
    <cfRule type="cellIs" dxfId="746" priority="787" stopIfTrue="1" operator="lessThanOrEqual">
      <formula>#REF!</formula>
    </cfRule>
    <cfRule type="cellIs" dxfId="745" priority="788" stopIfTrue="1" operator="between">
      <formula>#REF!</formula>
      <formula>#REF!</formula>
    </cfRule>
    <cfRule type="cellIs" dxfId="744" priority="789" stopIfTrue="1" operator="greaterThanOrEqual">
      <formula>#REF!</formula>
    </cfRule>
  </conditionalFormatting>
  <conditionalFormatting sqref="AU592:BB592">
    <cfRule type="cellIs" dxfId="743" priority="784" stopIfTrue="1" operator="lessThanOrEqual">
      <formula>$I$8</formula>
    </cfRule>
    <cfRule type="cellIs" dxfId="742" priority="785" stopIfTrue="1" operator="between">
      <formula>$I$8</formula>
      <formula>$J$8</formula>
    </cfRule>
    <cfRule type="cellIs" dxfId="741" priority="786" stopIfTrue="1" operator="greaterThanOrEqual">
      <formula>$J$8</formula>
    </cfRule>
  </conditionalFormatting>
  <conditionalFormatting sqref="AU592:BB592">
    <cfRule type="cellIs" dxfId="740" priority="781" stopIfTrue="1" operator="lessThanOrEqual">
      <formula>#REF!</formula>
    </cfRule>
    <cfRule type="cellIs" dxfId="739" priority="782" stopIfTrue="1" operator="between">
      <formula>#REF!</formula>
      <formula>#REF!</formula>
    </cfRule>
    <cfRule type="cellIs" dxfId="738" priority="783" stopIfTrue="1" operator="greaterThanOrEqual">
      <formula>#REF!</formula>
    </cfRule>
  </conditionalFormatting>
  <conditionalFormatting sqref="AW595:AX595 BA595:BB595">
    <cfRule type="cellIs" dxfId="737" priority="778" stopIfTrue="1" operator="lessThanOrEqual">
      <formula>$I$8</formula>
    </cfRule>
    <cfRule type="cellIs" dxfId="736" priority="779" stopIfTrue="1" operator="between">
      <formula>$I$8</formula>
      <formula>$J$8</formula>
    </cfRule>
    <cfRule type="cellIs" dxfId="735" priority="780" stopIfTrue="1" operator="greaterThanOrEqual">
      <formula>$J$8</formula>
    </cfRule>
  </conditionalFormatting>
  <conditionalFormatting sqref="AW595:AX595 BA595:BB595">
    <cfRule type="cellIs" dxfId="734" priority="775" stopIfTrue="1" operator="lessThanOrEqual">
      <formula>#REF!</formula>
    </cfRule>
    <cfRule type="cellIs" dxfId="733" priority="776" stopIfTrue="1" operator="between">
      <formula>#REF!</formula>
      <formula>#REF!</formula>
    </cfRule>
    <cfRule type="cellIs" dxfId="732" priority="777" stopIfTrue="1" operator="greaterThanOrEqual">
      <formula>#REF!</formula>
    </cfRule>
  </conditionalFormatting>
  <conditionalFormatting sqref="AV607:AX607 AZ607:BB607">
    <cfRule type="cellIs" dxfId="731" priority="772" stopIfTrue="1" operator="lessThanOrEqual">
      <formula>$I$8</formula>
    </cfRule>
    <cfRule type="cellIs" dxfId="730" priority="773" stopIfTrue="1" operator="between">
      <formula>$I$8</formula>
      <formula>$J$8</formula>
    </cfRule>
    <cfRule type="cellIs" dxfId="729" priority="774" stopIfTrue="1" operator="greaterThanOrEqual">
      <formula>$J$8</formula>
    </cfRule>
  </conditionalFormatting>
  <conditionalFormatting sqref="AV607:AX607 AZ607:BB607">
    <cfRule type="cellIs" dxfId="728" priority="769" stopIfTrue="1" operator="lessThanOrEqual">
      <formula>#REF!</formula>
    </cfRule>
    <cfRule type="cellIs" dxfId="727" priority="770" stopIfTrue="1" operator="between">
      <formula>#REF!</formula>
      <formula>#REF!</formula>
    </cfRule>
    <cfRule type="cellIs" dxfId="726" priority="771" stopIfTrue="1" operator="greaterThanOrEqual">
      <formula>#REF!</formula>
    </cfRule>
  </conditionalFormatting>
  <conditionalFormatting sqref="AU610:BB610">
    <cfRule type="cellIs" dxfId="725" priority="766" stopIfTrue="1" operator="lessThanOrEqual">
      <formula>$I$8</formula>
    </cfRule>
    <cfRule type="cellIs" dxfId="724" priority="767" stopIfTrue="1" operator="between">
      <formula>$I$8</formula>
      <formula>$J$8</formula>
    </cfRule>
    <cfRule type="cellIs" dxfId="723" priority="768" stopIfTrue="1" operator="greaterThanOrEqual">
      <formula>$J$8</formula>
    </cfRule>
  </conditionalFormatting>
  <conditionalFormatting sqref="AU610:BB610">
    <cfRule type="cellIs" dxfId="722" priority="763" stopIfTrue="1" operator="lessThanOrEqual">
      <formula>#REF!</formula>
    </cfRule>
    <cfRule type="cellIs" dxfId="721" priority="764" stopIfTrue="1" operator="between">
      <formula>#REF!</formula>
      <formula>#REF!</formula>
    </cfRule>
    <cfRule type="cellIs" dxfId="720" priority="765" stopIfTrue="1" operator="greaterThanOrEqual">
      <formula>#REF!</formula>
    </cfRule>
  </conditionalFormatting>
  <conditionalFormatting sqref="AU613:BB613">
    <cfRule type="cellIs" dxfId="719" priority="760" stopIfTrue="1" operator="lessThanOrEqual">
      <formula>$I$8</formula>
    </cfRule>
    <cfRule type="cellIs" dxfId="718" priority="761" stopIfTrue="1" operator="between">
      <formula>$I$8</formula>
      <formula>$J$8</formula>
    </cfRule>
    <cfRule type="cellIs" dxfId="717" priority="762" stopIfTrue="1" operator="greaterThanOrEqual">
      <formula>$J$8</formula>
    </cfRule>
  </conditionalFormatting>
  <conditionalFormatting sqref="AU613:BB613">
    <cfRule type="cellIs" dxfId="716" priority="757" stopIfTrue="1" operator="lessThanOrEqual">
      <formula>#REF!</formula>
    </cfRule>
    <cfRule type="cellIs" dxfId="715" priority="758" stopIfTrue="1" operator="between">
      <formula>#REF!</formula>
      <formula>#REF!</formula>
    </cfRule>
    <cfRule type="cellIs" dxfId="714" priority="759" stopIfTrue="1" operator="greaterThanOrEqual">
      <formula>#REF!</formula>
    </cfRule>
  </conditionalFormatting>
  <conditionalFormatting sqref="AW559 BA559">
    <cfRule type="cellIs" dxfId="713" priority="754" stopIfTrue="1" operator="lessThanOrEqual">
      <formula>$I$8</formula>
    </cfRule>
    <cfRule type="cellIs" dxfId="712" priority="755" stopIfTrue="1" operator="between">
      <formula>$I$8</formula>
      <formula>$J$8</formula>
    </cfRule>
    <cfRule type="cellIs" dxfId="711" priority="756" stopIfTrue="1" operator="greaterThanOrEqual">
      <formula>$J$8</formula>
    </cfRule>
  </conditionalFormatting>
  <conditionalFormatting sqref="AW559 BA559">
    <cfRule type="cellIs" dxfId="710" priority="751" stopIfTrue="1" operator="lessThanOrEqual">
      <formula>#REF!</formula>
    </cfRule>
    <cfRule type="cellIs" dxfId="709" priority="752" stopIfTrue="1" operator="between">
      <formula>#REF!</formula>
      <formula>#REF!</formula>
    </cfRule>
    <cfRule type="cellIs" dxfId="708" priority="753" stopIfTrue="1" operator="greaterThanOrEqual">
      <formula>#REF!</formula>
    </cfRule>
  </conditionalFormatting>
  <conditionalFormatting sqref="AV556:AX556">
    <cfRule type="cellIs" dxfId="707" priority="748" stopIfTrue="1" operator="lessThanOrEqual">
      <formula>$I$8</formula>
    </cfRule>
    <cfRule type="cellIs" dxfId="706" priority="749" stopIfTrue="1" operator="between">
      <formula>$I$8</formula>
      <formula>$J$8</formula>
    </cfRule>
    <cfRule type="cellIs" dxfId="705" priority="750" stopIfTrue="1" operator="greaterThanOrEqual">
      <formula>$J$8</formula>
    </cfRule>
  </conditionalFormatting>
  <conditionalFormatting sqref="AV556:AX556">
    <cfRule type="cellIs" dxfId="704" priority="745" stopIfTrue="1" operator="lessThanOrEqual">
      <formula>#REF!</formula>
    </cfRule>
    <cfRule type="cellIs" dxfId="703" priority="746" stopIfTrue="1" operator="between">
      <formula>#REF!</formula>
      <formula>#REF!</formula>
    </cfRule>
    <cfRule type="cellIs" dxfId="702" priority="747" stopIfTrue="1" operator="greaterThanOrEqual">
      <formula>#REF!</formula>
    </cfRule>
  </conditionalFormatting>
  <conditionalFormatting sqref="AZ556:BB556">
    <cfRule type="cellIs" dxfId="701" priority="742" stopIfTrue="1" operator="lessThanOrEqual">
      <formula>$I$8</formula>
    </cfRule>
    <cfRule type="cellIs" dxfId="700" priority="743" stopIfTrue="1" operator="between">
      <formula>$I$8</formula>
      <formula>$J$8</formula>
    </cfRule>
    <cfRule type="cellIs" dxfId="699" priority="744" stopIfTrue="1" operator="greaterThanOrEqual">
      <formula>$J$8</formula>
    </cfRule>
  </conditionalFormatting>
  <conditionalFormatting sqref="AZ556:BB556">
    <cfRule type="cellIs" dxfId="698" priority="739" stopIfTrue="1" operator="lessThanOrEqual">
      <formula>#REF!</formula>
    </cfRule>
    <cfRule type="cellIs" dxfId="697" priority="740" stopIfTrue="1" operator="between">
      <formula>#REF!</formula>
      <formula>#REF!</formula>
    </cfRule>
    <cfRule type="cellIs" dxfId="696" priority="741" stopIfTrue="1" operator="greaterThanOrEqual">
      <formula>#REF!</formula>
    </cfRule>
  </conditionalFormatting>
  <conditionalFormatting sqref="AY616">
    <cfRule type="cellIs" dxfId="695" priority="736" stopIfTrue="1" operator="lessThanOrEqual">
      <formula>$I$8</formula>
    </cfRule>
    <cfRule type="cellIs" dxfId="694" priority="737" stopIfTrue="1" operator="between">
      <formula>$I$8</formula>
      <formula>$J$8</formula>
    </cfRule>
    <cfRule type="cellIs" dxfId="693" priority="738" stopIfTrue="1" operator="greaterThanOrEqual">
      <formula>$J$8</formula>
    </cfRule>
  </conditionalFormatting>
  <conditionalFormatting sqref="AY616">
    <cfRule type="cellIs" dxfId="692" priority="733" stopIfTrue="1" operator="lessThanOrEqual">
      <formula>#REF!</formula>
    </cfRule>
    <cfRule type="cellIs" dxfId="691" priority="734" stopIfTrue="1" operator="between">
      <formula>#REF!</formula>
      <formula>#REF!</formula>
    </cfRule>
    <cfRule type="cellIs" dxfId="690" priority="735" stopIfTrue="1" operator="greaterThanOrEqual">
      <formula>#REF!</formula>
    </cfRule>
  </conditionalFormatting>
  <conditionalFormatting sqref="AU669:BB669">
    <cfRule type="cellIs" dxfId="689" priority="730" stopIfTrue="1" operator="lessThanOrEqual">
      <formula>$I$8</formula>
    </cfRule>
    <cfRule type="cellIs" dxfId="688" priority="731" stopIfTrue="1" operator="between">
      <formula>$I$8</formula>
      <formula>$J$8</formula>
    </cfRule>
    <cfRule type="cellIs" dxfId="687" priority="732" stopIfTrue="1" operator="greaterThanOrEqual">
      <formula>$J$8</formula>
    </cfRule>
  </conditionalFormatting>
  <conditionalFormatting sqref="AU669:BB669">
    <cfRule type="cellIs" dxfId="686" priority="727" stopIfTrue="1" operator="lessThanOrEqual">
      <formula>#REF!</formula>
    </cfRule>
    <cfRule type="cellIs" dxfId="685" priority="728" stopIfTrue="1" operator="between">
      <formula>#REF!</formula>
      <formula>#REF!</formula>
    </cfRule>
    <cfRule type="cellIs" dxfId="684" priority="729" stopIfTrue="1" operator="greaterThanOrEqual">
      <formula>#REF!</formula>
    </cfRule>
  </conditionalFormatting>
  <conditionalFormatting sqref="Y122 AA122 AC122">
    <cfRule type="cellIs" dxfId="683" priority="724" stopIfTrue="1" operator="lessThanOrEqual">
      <formula>$I$8</formula>
    </cfRule>
    <cfRule type="cellIs" dxfId="682" priority="725" stopIfTrue="1" operator="between">
      <formula>$I$8</formula>
      <formula>$J$8</formula>
    </cfRule>
    <cfRule type="cellIs" dxfId="681" priority="726" stopIfTrue="1" operator="greaterThanOrEqual">
      <formula>$J$8</formula>
    </cfRule>
  </conditionalFormatting>
  <conditionalFormatting sqref="W122">
    <cfRule type="cellIs" dxfId="680" priority="721" stopIfTrue="1" operator="lessThanOrEqual">
      <formula>$I$8</formula>
    </cfRule>
    <cfRule type="cellIs" dxfId="679" priority="722" stopIfTrue="1" operator="between">
      <formula>$I$8</formula>
      <formula>$J$8</formula>
    </cfRule>
    <cfRule type="cellIs" dxfId="678" priority="723" stopIfTrue="1" operator="greaterThanOrEqual">
      <formula>$J$8</formula>
    </cfRule>
  </conditionalFormatting>
  <conditionalFormatting sqref="W122 Y122 AA122 AC122">
    <cfRule type="cellIs" dxfId="677" priority="718" stopIfTrue="1" operator="lessThanOrEqual">
      <formula>#REF!</formula>
    </cfRule>
    <cfRule type="cellIs" dxfId="676" priority="719" stopIfTrue="1" operator="between">
      <formula>#REF!</formula>
      <formula>#REF!</formula>
    </cfRule>
    <cfRule type="cellIs" dxfId="675" priority="720" stopIfTrue="1" operator="greaterThanOrEqual">
      <formula>#REF!</formula>
    </cfRule>
  </conditionalFormatting>
  <conditionalFormatting sqref="Y141 AA141">
    <cfRule type="cellIs" dxfId="674" priority="715" stopIfTrue="1" operator="lessThanOrEqual">
      <formula>$I$8</formula>
    </cfRule>
    <cfRule type="cellIs" dxfId="673" priority="716" stopIfTrue="1" operator="between">
      <formula>$I$8</formula>
      <formula>$J$8</formula>
    </cfRule>
    <cfRule type="cellIs" dxfId="672" priority="717" stopIfTrue="1" operator="greaterThanOrEqual">
      <formula>$J$8</formula>
    </cfRule>
  </conditionalFormatting>
  <conditionalFormatting sqref="W141 Y141 AA141">
    <cfRule type="cellIs" dxfId="671" priority="709" stopIfTrue="1" operator="lessThanOrEqual">
      <formula>#REF!</formula>
    </cfRule>
    <cfRule type="cellIs" dxfId="670" priority="710" stopIfTrue="1" operator="between">
      <formula>#REF!</formula>
      <formula>#REF!</formula>
    </cfRule>
    <cfRule type="cellIs" dxfId="669" priority="711" stopIfTrue="1" operator="greaterThanOrEqual">
      <formula>#REF!</formula>
    </cfRule>
  </conditionalFormatting>
  <conditionalFormatting sqref="AC141">
    <cfRule type="cellIs" dxfId="668" priority="703" stopIfTrue="1" operator="lessThanOrEqual">
      <formula>#REF!</formula>
    </cfRule>
    <cfRule type="cellIs" dxfId="667" priority="704" stopIfTrue="1" operator="between">
      <formula>#REF!</formula>
      <formula>#REF!</formula>
    </cfRule>
    <cfRule type="cellIs" dxfId="666" priority="705" stopIfTrue="1" operator="greaterThanOrEqual">
      <formula>#REF!</formula>
    </cfRule>
  </conditionalFormatting>
  <conditionalFormatting sqref="X518">
    <cfRule type="cellIs" dxfId="665" priority="700" stopIfTrue="1" operator="lessThanOrEqual">
      <formula>$H$8</formula>
    </cfRule>
    <cfRule type="cellIs" dxfId="664" priority="701" stopIfTrue="1" operator="between">
      <formula>$H$8</formula>
      <formula>$I$8</formula>
    </cfRule>
    <cfRule type="cellIs" dxfId="663" priority="702" stopIfTrue="1" operator="greaterThanOrEqual">
      <formula>$I$8</formula>
    </cfRule>
  </conditionalFormatting>
  <conditionalFormatting sqref="X518">
    <cfRule type="cellIs" dxfId="662" priority="697" stopIfTrue="1" operator="lessThanOrEqual">
      <formula>#REF!</formula>
    </cfRule>
    <cfRule type="cellIs" dxfId="661" priority="698" stopIfTrue="1" operator="between">
      <formula>#REF!</formula>
      <formula>#REF!</formula>
    </cfRule>
    <cfRule type="cellIs" dxfId="660" priority="699" stopIfTrue="1" operator="greaterThanOrEqual">
      <formula>#REF!</formula>
    </cfRule>
  </conditionalFormatting>
  <conditionalFormatting sqref="AB518">
    <cfRule type="cellIs" dxfId="659" priority="694" stopIfTrue="1" operator="lessThanOrEqual">
      <formula>$H$8</formula>
    </cfRule>
    <cfRule type="cellIs" dxfId="658" priority="695" stopIfTrue="1" operator="between">
      <formula>$H$8</formula>
      <formula>$I$8</formula>
    </cfRule>
    <cfRule type="cellIs" dxfId="657" priority="696" stopIfTrue="1" operator="greaterThanOrEqual">
      <formula>$I$8</formula>
    </cfRule>
  </conditionalFormatting>
  <conditionalFormatting sqref="AB518">
    <cfRule type="cellIs" dxfId="656" priority="691" stopIfTrue="1" operator="lessThanOrEqual">
      <formula>#REF!</formula>
    </cfRule>
    <cfRule type="cellIs" dxfId="655" priority="692" stopIfTrue="1" operator="between">
      <formula>#REF!</formula>
      <formula>#REF!</formula>
    </cfRule>
    <cfRule type="cellIs" dxfId="654" priority="693" stopIfTrue="1" operator="greaterThanOrEqual">
      <formula>#REF!</formula>
    </cfRule>
  </conditionalFormatting>
  <conditionalFormatting sqref="W338">
    <cfRule type="cellIs" dxfId="653" priority="688" stopIfTrue="1" operator="lessThanOrEqual">
      <formula>$I$8</formula>
    </cfRule>
    <cfRule type="cellIs" dxfId="652" priority="689" stopIfTrue="1" operator="between">
      <formula>$I$8</formula>
      <formula>$J$8</formula>
    </cfRule>
    <cfRule type="cellIs" dxfId="651" priority="690" stopIfTrue="1" operator="greaterThanOrEqual">
      <formula>$J$8</formula>
    </cfRule>
  </conditionalFormatting>
  <conditionalFormatting sqref="W338">
    <cfRule type="cellIs" dxfId="650" priority="685" stopIfTrue="1" operator="lessThanOrEqual">
      <formula>#REF!</formula>
    </cfRule>
    <cfRule type="cellIs" dxfId="649" priority="686" stopIfTrue="1" operator="between">
      <formula>#REF!</formula>
      <formula>#REF!</formula>
    </cfRule>
    <cfRule type="cellIs" dxfId="648" priority="687" stopIfTrue="1" operator="greaterThanOrEqual">
      <formula>#REF!</formula>
    </cfRule>
  </conditionalFormatting>
  <conditionalFormatting sqref="W341">
    <cfRule type="cellIs" dxfId="647" priority="682" stopIfTrue="1" operator="lessThanOrEqual">
      <formula>$I$8</formula>
    </cfRule>
    <cfRule type="cellIs" dxfId="646" priority="683" stopIfTrue="1" operator="between">
      <formula>$I$8</formula>
      <formula>$J$8</formula>
    </cfRule>
    <cfRule type="cellIs" dxfId="645" priority="684" stopIfTrue="1" operator="greaterThanOrEqual">
      <formula>$J$8</formula>
    </cfRule>
  </conditionalFormatting>
  <conditionalFormatting sqref="W341">
    <cfRule type="cellIs" dxfId="644" priority="679" stopIfTrue="1" operator="lessThanOrEqual">
      <formula>#REF!</formula>
    </cfRule>
    <cfRule type="cellIs" dxfId="643" priority="680" stopIfTrue="1" operator="between">
      <formula>#REF!</formula>
      <formula>#REF!</formula>
    </cfRule>
    <cfRule type="cellIs" dxfId="642" priority="681" stopIfTrue="1" operator="greaterThanOrEqual">
      <formula>#REF!</formula>
    </cfRule>
  </conditionalFormatting>
  <conditionalFormatting sqref="AA338">
    <cfRule type="cellIs" dxfId="641" priority="676" stopIfTrue="1" operator="lessThanOrEqual">
      <formula>$I$8</formula>
    </cfRule>
    <cfRule type="cellIs" dxfId="640" priority="677" stopIfTrue="1" operator="between">
      <formula>$I$8</formula>
      <formula>$J$8</formula>
    </cfRule>
    <cfRule type="cellIs" dxfId="639" priority="678" stopIfTrue="1" operator="greaterThanOrEqual">
      <formula>$J$8</formula>
    </cfRule>
  </conditionalFormatting>
  <conditionalFormatting sqref="AA338">
    <cfRule type="cellIs" dxfId="638" priority="673" stopIfTrue="1" operator="lessThanOrEqual">
      <formula>#REF!</formula>
    </cfRule>
    <cfRule type="cellIs" dxfId="637" priority="674" stopIfTrue="1" operator="between">
      <formula>#REF!</formula>
      <formula>#REF!</formula>
    </cfRule>
    <cfRule type="cellIs" dxfId="636" priority="675" stopIfTrue="1" operator="greaterThanOrEqual">
      <formula>#REF!</formula>
    </cfRule>
  </conditionalFormatting>
  <conditionalFormatting sqref="AA341">
    <cfRule type="cellIs" dxfId="635" priority="670" stopIfTrue="1" operator="lessThanOrEqual">
      <formula>$I$8</formula>
    </cfRule>
    <cfRule type="cellIs" dxfId="634" priority="671" stopIfTrue="1" operator="between">
      <formula>$I$8</formula>
      <formula>$J$8</formula>
    </cfRule>
    <cfRule type="cellIs" dxfId="633" priority="672" stopIfTrue="1" operator="greaterThanOrEqual">
      <formula>$J$8</formula>
    </cfRule>
  </conditionalFormatting>
  <conditionalFormatting sqref="AA341">
    <cfRule type="cellIs" dxfId="632" priority="667" stopIfTrue="1" operator="lessThanOrEqual">
      <formula>#REF!</formula>
    </cfRule>
    <cfRule type="cellIs" dxfId="631" priority="668" stopIfTrue="1" operator="between">
      <formula>#REF!</formula>
      <formula>#REF!</formula>
    </cfRule>
    <cfRule type="cellIs" dxfId="630" priority="669" stopIfTrue="1" operator="greaterThanOrEqual">
      <formula>#REF!</formula>
    </cfRule>
  </conditionalFormatting>
  <conditionalFormatting sqref="W643">
    <cfRule type="cellIs" dxfId="629" priority="664" stopIfTrue="1" operator="lessThanOrEqual">
      <formula>$I$8</formula>
    </cfRule>
    <cfRule type="cellIs" dxfId="628" priority="665" stopIfTrue="1" operator="between">
      <formula>$I$8</formula>
      <formula>$J$8</formula>
    </cfRule>
    <cfRule type="cellIs" dxfId="627" priority="666" stopIfTrue="1" operator="greaterThanOrEqual">
      <formula>$J$8</formula>
    </cfRule>
  </conditionalFormatting>
  <conditionalFormatting sqref="W643">
    <cfRule type="cellIs" dxfId="626" priority="661" stopIfTrue="1" operator="lessThanOrEqual">
      <formula>#REF!</formula>
    </cfRule>
    <cfRule type="cellIs" dxfId="625" priority="662" stopIfTrue="1" operator="between">
      <formula>#REF!</formula>
      <formula>#REF!</formula>
    </cfRule>
    <cfRule type="cellIs" dxfId="624" priority="663" stopIfTrue="1" operator="greaterThanOrEqual">
      <formula>#REF!</formula>
    </cfRule>
  </conditionalFormatting>
  <conditionalFormatting sqref="W646">
    <cfRule type="cellIs" dxfId="623" priority="658" stopIfTrue="1" operator="lessThanOrEqual">
      <formula>$I$8</formula>
    </cfRule>
    <cfRule type="cellIs" dxfId="622" priority="659" stopIfTrue="1" operator="between">
      <formula>$I$8</formula>
      <formula>$J$8</formula>
    </cfRule>
    <cfRule type="cellIs" dxfId="621" priority="660" stopIfTrue="1" operator="greaterThanOrEqual">
      <formula>$J$8</formula>
    </cfRule>
  </conditionalFormatting>
  <conditionalFormatting sqref="W646">
    <cfRule type="cellIs" dxfId="620" priority="655" stopIfTrue="1" operator="lessThanOrEqual">
      <formula>#REF!</formula>
    </cfRule>
    <cfRule type="cellIs" dxfId="619" priority="656" stopIfTrue="1" operator="between">
      <formula>#REF!</formula>
      <formula>#REF!</formula>
    </cfRule>
    <cfRule type="cellIs" dxfId="618" priority="657" stopIfTrue="1" operator="greaterThanOrEqual">
      <formula>#REF!</formula>
    </cfRule>
  </conditionalFormatting>
  <conditionalFormatting sqref="AB193">
    <cfRule type="cellIs" dxfId="617" priority="643" stopIfTrue="1" operator="lessThanOrEqual">
      <formula>#REF!</formula>
    </cfRule>
    <cfRule type="cellIs" dxfId="616" priority="644" stopIfTrue="1" operator="between">
      <formula>#REF!</formula>
      <formula>#REF!</formula>
    </cfRule>
    <cfRule type="cellIs" dxfId="615" priority="645" stopIfTrue="1" operator="greaterThanOrEqual">
      <formula>#REF!</formula>
    </cfRule>
  </conditionalFormatting>
  <conditionalFormatting sqref="AC193">
    <cfRule type="cellIs" dxfId="614" priority="631" stopIfTrue="1" operator="lessThanOrEqual">
      <formula>#REF!</formula>
    </cfRule>
    <cfRule type="cellIs" dxfId="613" priority="632" stopIfTrue="1" operator="between">
      <formula>#REF!</formula>
      <formula>#REF!</formula>
    </cfRule>
    <cfRule type="cellIs" dxfId="612" priority="633" stopIfTrue="1" operator="greaterThanOrEqual">
      <formula>#REF!</formula>
    </cfRule>
  </conditionalFormatting>
  <conditionalFormatting sqref="Y193">
    <cfRule type="cellIs" dxfId="611" priority="637" stopIfTrue="1" operator="lessThanOrEqual">
      <formula>#REF!</formula>
    </cfRule>
    <cfRule type="cellIs" dxfId="610" priority="638" stopIfTrue="1" operator="between">
      <formula>#REF!</formula>
      <formula>#REF!</formula>
    </cfRule>
    <cfRule type="cellIs" dxfId="609" priority="639" stopIfTrue="1" operator="greaterThanOrEqual">
      <formula>#REF!</formula>
    </cfRule>
  </conditionalFormatting>
  <conditionalFormatting sqref="AB600">
    <cfRule type="cellIs" dxfId="608" priority="79" stopIfTrue="1" operator="lessThanOrEqual">
      <formula>#REF!</formula>
    </cfRule>
    <cfRule type="cellIs" dxfId="607" priority="80" stopIfTrue="1" operator="between">
      <formula>#REF!</formula>
      <formula>#REF!</formula>
    </cfRule>
    <cfRule type="cellIs" dxfId="606" priority="81" stopIfTrue="1" operator="greaterThanOrEqual">
      <formula>#REF!</formula>
    </cfRule>
  </conditionalFormatting>
  <conditionalFormatting sqref="X193">
    <cfRule type="cellIs" dxfId="605" priority="652" stopIfTrue="1" operator="lessThanOrEqual">
      <formula>$I$8</formula>
    </cfRule>
    <cfRule type="cellIs" dxfId="604" priority="653" stopIfTrue="1" operator="between">
      <formula>$I$8</formula>
      <formula>$J$8</formula>
    </cfRule>
    <cfRule type="cellIs" dxfId="603" priority="654" stopIfTrue="1" operator="greaterThanOrEqual">
      <formula>$J$8</formula>
    </cfRule>
  </conditionalFormatting>
  <conditionalFormatting sqref="AB193">
    <cfRule type="cellIs" dxfId="602" priority="646" stopIfTrue="1" operator="lessThanOrEqual">
      <formula>$I$8</formula>
    </cfRule>
    <cfRule type="cellIs" dxfId="601" priority="647" stopIfTrue="1" operator="between">
      <formula>$I$8</formula>
      <formula>$J$8</formula>
    </cfRule>
    <cfRule type="cellIs" dxfId="600" priority="648" stopIfTrue="1" operator="greaterThanOrEqual">
      <formula>$J$8</formula>
    </cfRule>
  </conditionalFormatting>
  <conditionalFormatting sqref="X193">
    <cfRule type="cellIs" dxfId="599" priority="649" stopIfTrue="1" operator="lessThanOrEqual">
      <formula>#REF!</formula>
    </cfRule>
    <cfRule type="cellIs" dxfId="598" priority="650" stopIfTrue="1" operator="between">
      <formula>#REF!</formula>
      <formula>#REF!</formula>
    </cfRule>
    <cfRule type="cellIs" dxfId="597" priority="651" stopIfTrue="1" operator="greaterThanOrEqual">
      <formula>#REF!</formula>
    </cfRule>
  </conditionalFormatting>
  <conditionalFormatting sqref="Y600 Y603 Y606">
    <cfRule type="cellIs" dxfId="596" priority="97" stopIfTrue="1" operator="lessThanOrEqual">
      <formula>#REF!</formula>
    </cfRule>
    <cfRule type="cellIs" dxfId="595" priority="98" stopIfTrue="1" operator="between">
      <formula>#REF!</formula>
      <formula>#REF!</formula>
    </cfRule>
    <cfRule type="cellIs" dxfId="594" priority="99" stopIfTrue="1" operator="greaterThanOrEqual">
      <formula>#REF!</formula>
    </cfRule>
  </conditionalFormatting>
  <conditionalFormatting sqref="Y193">
    <cfRule type="cellIs" dxfId="593" priority="640" stopIfTrue="1" operator="lessThanOrEqual">
      <formula>$I$8</formula>
    </cfRule>
    <cfRule type="cellIs" dxfId="592" priority="641" stopIfTrue="1" operator="between">
      <formula>$I$8</formula>
      <formula>$J$8</formula>
    </cfRule>
    <cfRule type="cellIs" dxfId="591" priority="642" stopIfTrue="1" operator="greaterThanOrEqual">
      <formula>$J$8</formula>
    </cfRule>
  </conditionalFormatting>
  <conditionalFormatting sqref="AC600 AC603 AC606">
    <cfRule type="cellIs" dxfId="590" priority="91" stopIfTrue="1" operator="lessThanOrEqual">
      <formula>#REF!</formula>
    </cfRule>
    <cfRule type="cellIs" dxfId="589" priority="92" stopIfTrue="1" operator="between">
      <formula>#REF!</formula>
      <formula>#REF!</formula>
    </cfRule>
    <cfRule type="cellIs" dxfId="588" priority="93" stopIfTrue="1" operator="greaterThanOrEqual">
      <formula>#REF!</formula>
    </cfRule>
  </conditionalFormatting>
  <conditionalFormatting sqref="AC193">
    <cfRule type="cellIs" dxfId="587" priority="634" stopIfTrue="1" operator="lessThanOrEqual">
      <formula>$I$8</formula>
    </cfRule>
    <cfRule type="cellIs" dxfId="586" priority="635" stopIfTrue="1" operator="between">
      <formula>$I$8</formula>
      <formula>$J$8</formula>
    </cfRule>
    <cfRule type="cellIs" dxfId="585" priority="636" stopIfTrue="1" operator="greaterThanOrEqual">
      <formula>$J$8</formula>
    </cfRule>
  </conditionalFormatting>
  <conditionalFormatting sqref="Z600">
    <cfRule type="cellIs" dxfId="584" priority="85" stopIfTrue="1" operator="lessThanOrEqual">
      <formula>#REF!</formula>
    </cfRule>
    <cfRule type="cellIs" dxfId="583" priority="86" stopIfTrue="1" operator="between">
      <formula>#REF!</formula>
      <formula>#REF!</formula>
    </cfRule>
    <cfRule type="cellIs" dxfId="582" priority="87" stopIfTrue="1" operator="greaterThanOrEqual">
      <formula>#REF!</formula>
    </cfRule>
  </conditionalFormatting>
  <conditionalFormatting sqref="AU191:BB191">
    <cfRule type="cellIs" dxfId="581" priority="628" stopIfTrue="1" operator="lessThanOrEqual">
      <formula>$I$8</formula>
    </cfRule>
    <cfRule type="cellIs" dxfId="580" priority="629" stopIfTrue="1" operator="between">
      <formula>$I$8</formula>
      <formula>$J$8</formula>
    </cfRule>
    <cfRule type="cellIs" dxfId="579" priority="630" stopIfTrue="1" operator="greaterThanOrEqual">
      <formula>$J$8</formula>
    </cfRule>
  </conditionalFormatting>
  <conditionalFormatting sqref="AU191:BB191">
    <cfRule type="cellIs" dxfId="578" priority="625" stopIfTrue="1" operator="lessThanOrEqual">
      <formula>#REF!</formula>
    </cfRule>
    <cfRule type="cellIs" dxfId="577" priority="626" stopIfTrue="1" operator="between">
      <formula>#REF!</formula>
      <formula>#REF!</formula>
    </cfRule>
    <cfRule type="cellIs" dxfId="576" priority="627" stopIfTrue="1" operator="greaterThanOrEqual">
      <formula>#REF!</formula>
    </cfRule>
  </conditionalFormatting>
  <conditionalFormatting sqref="AC297">
    <cfRule type="cellIs" dxfId="575" priority="601" stopIfTrue="1" operator="lessThanOrEqual">
      <formula>#REF!</formula>
    </cfRule>
    <cfRule type="cellIs" dxfId="574" priority="602" stopIfTrue="1" operator="between">
      <formula>#REF!</formula>
      <formula>#REF!</formula>
    </cfRule>
    <cfRule type="cellIs" dxfId="573" priority="603" stopIfTrue="1" operator="greaterThanOrEqual">
      <formula>#REF!</formula>
    </cfRule>
  </conditionalFormatting>
  <conditionalFormatting sqref="Y300">
    <cfRule type="cellIs" dxfId="572" priority="622" stopIfTrue="1" operator="lessThanOrEqual">
      <formula>$G$8</formula>
    </cfRule>
    <cfRule type="cellIs" dxfId="571" priority="623" stopIfTrue="1" operator="between">
      <formula>$G$8</formula>
      <formula>$H$8</formula>
    </cfRule>
    <cfRule type="cellIs" dxfId="570" priority="624" stopIfTrue="1" operator="greaterThanOrEqual">
      <formula>$H$8</formula>
    </cfRule>
  </conditionalFormatting>
  <conditionalFormatting sqref="Y300">
    <cfRule type="cellIs" dxfId="569" priority="619" stopIfTrue="1" operator="lessThanOrEqual">
      <formula>#REF!</formula>
    </cfRule>
    <cfRule type="cellIs" dxfId="568" priority="620" stopIfTrue="1" operator="between">
      <formula>#REF!</formula>
      <formula>#REF!</formula>
    </cfRule>
    <cfRule type="cellIs" dxfId="567" priority="621" stopIfTrue="1" operator="greaterThanOrEqual">
      <formula>#REF!</formula>
    </cfRule>
  </conditionalFormatting>
  <conditionalFormatting sqref="AC300">
    <cfRule type="cellIs" dxfId="566" priority="616" stopIfTrue="1" operator="lessThanOrEqual">
      <formula>$G$8</formula>
    </cfRule>
    <cfRule type="cellIs" dxfId="565" priority="617" stopIfTrue="1" operator="between">
      <formula>$G$8</formula>
      <formula>$H$8</formula>
    </cfRule>
    <cfRule type="cellIs" dxfId="564" priority="618" stopIfTrue="1" operator="greaterThanOrEqual">
      <formula>$H$8</formula>
    </cfRule>
  </conditionalFormatting>
  <conditionalFormatting sqref="AC300">
    <cfRule type="cellIs" dxfId="563" priority="613" stopIfTrue="1" operator="lessThanOrEqual">
      <formula>#REF!</formula>
    </cfRule>
    <cfRule type="cellIs" dxfId="562" priority="614" stopIfTrue="1" operator="between">
      <formula>#REF!</formula>
      <formula>#REF!</formula>
    </cfRule>
    <cfRule type="cellIs" dxfId="561" priority="615" stopIfTrue="1" operator="greaterThanOrEqual">
      <formula>#REF!</formula>
    </cfRule>
  </conditionalFormatting>
  <conditionalFormatting sqref="Y297">
    <cfRule type="cellIs" dxfId="560" priority="610" stopIfTrue="1" operator="lessThanOrEqual">
      <formula>$G$8</formula>
    </cfRule>
    <cfRule type="cellIs" dxfId="559" priority="611" stopIfTrue="1" operator="between">
      <formula>$G$8</formula>
      <formula>$H$8</formula>
    </cfRule>
    <cfRule type="cellIs" dxfId="558" priority="612" stopIfTrue="1" operator="greaterThanOrEqual">
      <formula>$H$8</formula>
    </cfRule>
  </conditionalFormatting>
  <conditionalFormatting sqref="Y297">
    <cfRule type="cellIs" dxfId="557" priority="607" stopIfTrue="1" operator="lessThanOrEqual">
      <formula>#REF!</formula>
    </cfRule>
    <cfRule type="cellIs" dxfId="556" priority="608" stopIfTrue="1" operator="between">
      <formula>#REF!</formula>
      <formula>#REF!</formula>
    </cfRule>
    <cfRule type="cellIs" dxfId="555" priority="609" stopIfTrue="1" operator="greaterThanOrEqual">
      <formula>#REF!</formula>
    </cfRule>
  </conditionalFormatting>
  <conditionalFormatting sqref="AC297">
    <cfRule type="cellIs" dxfId="554" priority="604" stopIfTrue="1" operator="lessThanOrEqual">
      <formula>$G$8</formula>
    </cfRule>
    <cfRule type="cellIs" dxfId="553" priority="605" stopIfTrue="1" operator="between">
      <formula>$G$8</formula>
      <formula>$H$8</formula>
    </cfRule>
    <cfRule type="cellIs" dxfId="552" priority="606" stopIfTrue="1" operator="greaterThanOrEqual">
      <formula>$H$8</formula>
    </cfRule>
  </conditionalFormatting>
  <conditionalFormatting sqref="V573">
    <cfRule type="cellIs" dxfId="551" priority="598" stopIfTrue="1" operator="lessThanOrEqual">
      <formula>$I$8</formula>
    </cfRule>
    <cfRule type="cellIs" dxfId="550" priority="599" stopIfTrue="1" operator="between">
      <formula>$I$8</formula>
      <formula>$J$8</formula>
    </cfRule>
    <cfRule type="cellIs" dxfId="549" priority="600" stopIfTrue="1" operator="greaterThanOrEqual">
      <formula>$J$8</formula>
    </cfRule>
  </conditionalFormatting>
  <conditionalFormatting sqref="V573">
    <cfRule type="cellIs" dxfId="548" priority="595" stopIfTrue="1" operator="lessThanOrEqual">
      <formula>#REF!</formula>
    </cfRule>
    <cfRule type="cellIs" dxfId="547" priority="596" stopIfTrue="1" operator="between">
      <formula>#REF!</formula>
      <formula>#REF!</formula>
    </cfRule>
    <cfRule type="cellIs" dxfId="546" priority="597" stopIfTrue="1" operator="greaterThanOrEqual">
      <formula>#REF!</formula>
    </cfRule>
  </conditionalFormatting>
  <conditionalFormatting sqref="V582">
    <cfRule type="cellIs" dxfId="545" priority="592" stopIfTrue="1" operator="lessThanOrEqual">
      <formula>$I$8</formula>
    </cfRule>
    <cfRule type="cellIs" dxfId="544" priority="593" stopIfTrue="1" operator="between">
      <formula>$I$8</formula>
      <formula>$J$8</formula>
    </cfRule>
    <cfRule type="cellIs" dxfId="543" priority="594" stopIfTrue="1" operator="greaterThanOrEqual">
      <formula>$J$8</formula>
    </cfRule>
  </conditionalFormatting>
  <conditionalFormatting sqref="V582">
    <cfRule type="cellIs" dxfId="542" priority="589" stopIfTrue="1" operator="lessThanOrEqual">
      <formula>#REF!</formula>
    </cfRule>
    <cfRule type="cellIs" dxfId="541" priority="590" stopIfTrue="1" operator="between">
      <formula>#REF!</formula>
      <formula>#REF!</formula>
    </cfRule>
    <cfRule type="cellIs" dxfId="540" priority="591" stopIfTrue="1" operator="greaterThanOrEqual">
      <formula>#REF!</formula>
    </cfRule>
  </conditionalFormatting>
  <conditionalFormatting sqref="V594">
    <cfRule type="cellIs" dxfId="539" priority="586" stopIfTrue="1" operator="lessThanOrEqual">
      <formula>$I$8</formula>
    </cfRule>
    <cfRule type="cellIs" dxfId="538" priority="587" stopIfTrue="1" operator="between">
      <formula>$I$8</formula>
      <formula>$J$8</formula>
    </cfRule>
    <cfRule type="cellIs" dxfId="537" priority="588" stopIfTrue="1" operator="greaterThanOrEqual">
      <formula>$J$8</formula>
    </cfRule>
  </conditionalFormatting>
  <conditionalFormatting sqref="V594">
    <cfRule type="cellIs" dxfId="536" priority="583" stopIfTrue="1" operator="lessThanOrEqual">
      <formula>#REF!</formula>
    </cfRule>
    <cfRule type="cellIs" dxfId="535" priority="584" stopIfTrue="1" operator="between">
      <formula>#REF!</formula>
      <formula>#REF!</formula>
    </cfRule>
    <cfRule type="cellIs" dxfId="534" priority="585" stopIfTrue="1" operator="greaterThanOrEqual">
      <formula>#REF!</formula>
    </cfRule>
  </conditionalFormatting>
  <conditionalFormatting sqref="V612">
    <cfRule type="cellIs" dxfId="533" priority="580" stopIfTrue="1" operator="lessThanOrEqual">
      <formula>$I$8</formula>
    </cfRule>
    <cfRule type="cellIs" dxfId="532" priority="581" stopIfTrue="1" operator="between">
      <formula>$I$8</formula>
      <formula>$J$8</formula>
    </cfRule>
    <cfRule type="cellIs" dxfId="531" priority="582" stopIfTrue="1" operator="greaterThanOrEqual">
      <formula>$J$8</formula>
    </cfRule>
  </conditionalFormatting>
  <conditionalFormatting sqref="V612">
    <cfRule type="cellIs" dxfId="530" priority="577" stopIfTrue="1" operator="lessThanOrEqual">
      <formula>#REF!</formula>
    </cfRule>
    <cfRule type="cellIs" dxfId="529" priority="578" stopIfTrue="1" operator="between">
      <formula>#REF!</formula>
      <formula>#REF!</formula>
    </cfRule>
    <cfRule type="cellIs" dxfId="528" priority="579" stopIfTrue="1" operator="greaterThanOrEqual">
      <formula>#REF!</formula>
    </cfRule>
  </conditionalFormatting>
  <conditionalFormatting sqref="V615">
    <cfRule type="cellIs" dxfId="527" priority="574" stopIfTrue="1" operator="lessThanOrEqual">
      <formula>$I$8</formula>
    </cfRule>
    <cfRule type="cellIs" dxfId="526" priority="575" stopIfTrue="1" operator="between">
      <formula>$I$8</formula>
      <formula>$J$8</formula>
    </cfRule>
    <cfRule type="cellIs" dxfId="525" priority="576" stopIfTrue="1" operator="greaterThanOrEqual">
      <formula>$J$8</formula>
    </cfRule>
  </conditionalFormatting>
  <conditionalFormatting sqref="V615">
    <cfRule type="cellIs" dxfId="524" priority="571" stopIfTrue="1" operator="lessThanOrEqual">
      <formula>#REF!</formula>
    </cfRule>
    <cfRule type="cellIs" dxfId="523" priority="572" stopIfTrue="1" operator="between">
      <formula>#REF!</formula>
      <formula>#REF!</formula>
    </cfRule>
    <cfRule type="cellIs" dxfId="522" priority="573" stopIfTrue="1" operator="greaterThanOrEqual">
      <formula>#REF!</formula>
    </cfRule>
  </conditionalFormatting>
  <conditionalFormatting sqref="V552">
    <cfRule type="cellIs" dxfId="521" priority="568" stopIfTrue="1" operator="lessThanOrEqual">
      <formula>$I$8</formula>
    </cfRule>
    <cfRule type="cellIs" dxfId="520" priority="569" stopIfTrue="1" operator="between">
      <formula>$I$8</formula>
      <formula>$J$8</formula>
    </cfRule>
    <cfRule type="cellIs" dxfId="519" priority="570" stopIfTrue="1" operator="greaterThanOrEqual">
      <formula>$J$8</formula>
    </cfRule>
  </conditionalFormatting>
  <conditionalFormatting sqref="V552">
    <cfRule type="cellIs" dxfId="518" priority="565" stopIfTrue="1" operator="lessThanOrEqual">
      <formula>#REF!</formula>
    </cfRule>
    <cfRule type="cellIs" dxfId="517" priority="566" stopIfTrue="1" operator="between">
      <formula>#REF!</formula>
      <formula>#REF!</formula>
    </cfRule>
    <cfRule type="cellIs" dxfId="516" priority="567" stopIfTrue="1" operator="greaterThanOrEqual">
      <formula>#REF!</formula>
    </cfRule>
  </conditionalFormatting>
  <conditionalFormatting sqref="AA573 AA612 AA582 AA585 AA594 AA609 AA615 Y570 AA552 AA558">
    <cfRule type="cellIs" dxfId="515" priority="562" stopIfTrue="1" operator="lessThanOrEqual">
      <formula>$I$8</formula>
    </cfRule>
    <cfRule type="cellIs" dxfId="514" priority="563" stopIfTrue="1" operator="between">
      <formula>$I$8</formula>
      <formula>$J$8</formula>
    </cfRule>
    <cfRule type="cellIs" dxfId="513" priority="564" stopIfTrue="1" operator="greaterThanOrEqual">
      <formula>$J$8</formula>
    </cfRule>
  </conditionalFormatting>
  <conditionalFormatting sqref="Z582">
    <cfRule type="cellIs" dxfId="512" priority="499" stopIfTrue="1" operator="lessThanOrEqual">
      <formula>$I$8</formula>
    </cfRule>
    <cfRule type="cellIs" dxfId="511" priority="500" stopIfTrue="1" operator="between">
      <formula>$I$8</formula>
      <formula>$J$8</formula>
    </cfRule>
    <cfRule type="cellIs" dxfId="510" priority="501" stopIfTrue="1" operator="greaterThanOrEqual">
      <formula>$J$8</formula>
    </cfRule>
  </conditionalFormatting>
  <conditionalFormatting sqref="AC585">
    <cfRule type="cellIs" dxfId="509" priority="475" stopIfTrue="1" operator="lessThanOrEqual">
      <formula>$I$8</formula>
    </cfRule>
    <cfRule type="cellIs" dxfId="508" priority="476" stopIfTrue="1" operator="between">
      <formula>$I$8</formula>
      <formula>$J$8</formula>
    </cfRule>
    <cfRule type="cellIs" dxfId="507" priority="477" stopIfTrue="1" operator="greaterThanOrEqual">
      <formula>$J$8</formula>
    </cfRule>
  </conditionalFormatting>
  <conditionalFormatting sqref="Z615">
    <cfRule type="cellIs" dxfId="506" priority="343" stopIfTrue="1" operator="lessThanOrEqual">
      <formula>$I$8</formula>
    </cfRule>
    <cfRule type="cellIs" dxfId="505" priority="344" stopIfTrue="1" operator="between">
      <formula>$I$8</formula>
      <formula>$J$8</formula>
    </cfRule>
    <cfRule type="cellIs" dxfId="504" priority="345" stopIfTrue="1" operator="greaterThanOrEqual">
      <formula>$J$8</formula>
    </cfRule>
  </conditionalFormatting>
  <conditionalFormatting sqref="AB615">
    <cfRule type="cellIs" dxfId="503" priority="337" stopIfTrue="1" operator="lessThanOrEqual">
      <formula>$I$8</formula>
    </cfRule>
    <cfRule type="cellIs" dxfId="502" priority="338" stopIfTrue="1" operator="between">
      <formula>$I$8</formula>
      <formula>$J$8</formula>
    </cfRule>
    <cfRule type="cellIs" dxfId="501" priority="339" stopIfTrue="1" operator="greaterThanOrEqual">
      <formula>$J$8</formula>
    </cfRule>
  </conditionalFormatting>
  <conditionalFormatting sqref="Z594">
    <cfRule type="cellIs" dxfId="500" priority="445" stopIfTrue="1" operator="lessThanOrEqual">
      <formula>$I$8</formula>
    </cfRule>
    <cfRule type="cellIs" dxfId="499" priority="446" stopIfTrue="1" operator="between">
      <formula>$I$8</formula>
      <formula>$J$8</formula>
    </cfRule>
    <cfRule type="cellIs" dxfId="498" priority="447" stopIfTrue="1" operator="greaterThanOrEqual">
      <formula>$J$8</formula>
    </cfRule>
  </conditionalFormatting>
  <conditionalFormatting sqref="X594">
    <cfRule type="cellIs" dxfId="497" priority="451" stopIfTrue="1" operator="lessThanOrEqual">
      <formula>$I$8</formula>
    </cfRule>
    <cfRule type="cellIs" dxfId="496" priority="452" stopIfTrue="1" operator="between">
      <formula>$I$8</formula>
      <formula>$J$8</formula>
    </cfRule>
    <cfRule type="cellIs" dxfId="495" priority="453" stopIfTrue="1" operator="greaterThanOrEqual">
      <formula>$J$8</formula>
    </cfRule>
  </conditionalFormatting>
  <conditionalFormatting sqref="AB594">
    <cfRule type="cellIs" dxfId="494" priority="439" stopIfTrue="1" operator="lessThanOrEqual">
      <formula>$I$8</formula>
    </cfRule>
    <cfRule type="cellIs" dxfId="493" priority="440" stopIfTrue="1" operator="between">
      <formula>$I$8</formula>
      <formula>$J$8</formula>
    </cfRule>
    <cfRule type="cellIs" dxfId="492" priority="441" stopIfTrue="1" operator="greaterThanOrEqual">
      <formula>$J$8</formula>
    </cfRule>
  </conditionalFormatting>
  <conditionalFormatting sqref="Y615">
    <cfRule type="cellIs" dxfId="491" priority="361" stopIfTrue="1" operator="lessThanOrEqual">
      <formula>$I$8</formula>
    </cfRule>
    <cfRule type="cellIs" dxfId="490" priority="362" stopIfTrue="1" operator="between">
      <formula>$I$8</formula>
      <formula>$J$8</formula>
    </cfRule>
    <cfRule type="cellIs" dxfId="489" priority="363" stopIfTrue="1" operator="greaterThanOrEqual">
      <formula>$J$8</formula>
    </cfRule>
  </conditionalFormatting>
  <conditionalFormatting sqref="X609">
    <cfRule type="cellIs" dxfId="488" priority="415" stopIfTrue="1" operator="lessThanOrEqual">
      <formula>$I$8</formula>
    </cfRule>
    <cfRule type="cellIs" dxfId="487" priority="416" stopIfTrue="1" operator="between">
      <formula>$I$8</formula>
      <formula>$J$8</formula>
    </cfRule>
    <cfRule type="cellIs" dxfId="486" priority="417" stopIfTrue="1" operator="greaterThanOrEqual">
      <formula>$J$8</formula>
    </cfRule>
  </conditionalFormatting>
  <conditionalFormatting sqref="AB609">
    <cfRule type="cellIs" dxfId="485" priority="409" stopIfTrue="1" operator="lessThanOrEqual">
      <formula>$I$8</formula>
    </cfRule>
    <cfRule type="cellIs" dxfId="484" priority="410" stopIfTrue="1" operator="between">
      <formula>$I$8</formula>
      <formula>$J$8</formula>
    </cfRule>
    <cfRule type="cellIs" dxfId="483" priority="411" stopIfTrue="1" operator="greaterThanOrEqual">
      <formula>$J$8</formula>
    </cfRule>
  </conditionalFormatting>
  <conditionalFormatting sqref="W612">
    <cfRule type="cellIs" dxfId="482" priority="403" stopIfTrue="1" operator="lessThanOrEqual">
      <formula>$I$8</formula>
    </cfRule>
    <cfRule type="cellIs" dxfId="481" priority="404" stopIfTrue="1" operator="between">
      <formula>$I$8</formula>
      <formula>$J$8</formula>
    </cfRule>
    <cfRule type="cellIs" dxfId="480" priority="405" stopIfTrue="1" operator="greaterThanOrEqual">
      <formula>$J$8</formula>
    </cfRule>
  </conditionalFormatting>
  <conditionalFormatting sqref="W612 AA612">
    <cfRule type="cellIs" dxfId="479" priority="400" stopIfTrue="1" operator="lessThanOrEqual">
      <formula>#REF!</formula>
    </cfRule>
    <cfRule type="cellIs" dxfId="478" priority="401" stopIfTrue="1" operator="between">
      <formula>#REF!</formula>
      <formula>#REF!</formula>
    </cfRule>
    <cfRule type="cellIs" dxfId="477" priority="402" stopIfTrue="1" operator="greaterThanOrEqual">
      <formula>#REF!</formula>
    </cfRule>
  </conditionalFormatting>
  <conditionalFormatting sqref="X573">
    <cfRule type="cellIs" dxfId="476" priority="538" stopIfTrue="1" operator="lessThanOrEqual">
      <formula>#REF!</formula>
    </cfRule>
    <cfRule type="cellIs" dxfId="475" priority="539" stopIfTrue="1" operator="between">
      <formula>#REF!</formula>
      <formula>#REF!</formula>
    </cfRule>
    <cfRule type="cellIs" dxfId="474" priority="540" stopIfTrue="1" operator="greaterThanOrEqual">
      <formula>#REF!</formula>
    </cfRule>
  </conditionalFormatting>
  <conditionalFormatting sqref="X582">
    <cfRule type="cellIs" dxfId="473" priority="505" stopIfTrue="1" operator="lessThanOrEqual">
      <formula>$I$8</formula>
    </cfRule>
    <cfRule type="cellIs" dxfId="472" priority="506" stopIfTrue="1" operator="between">
      <formula>$I$8</formula>
      <formula>$J$8</formula>
    </cfRule>
    <cfRule type="cellIs" dxfId="471" priority="507" stopIfTrue="1" operator="greaterThanOrEqual">
      <formula>$J$8</formula>
    </cfRule>
  </conditionalFormatting>
  <conditionalFormatting sqref="X582">
    <cfRule type="cellIs" dxfId="470" priority="502" stopIfTrue="1" operator="lessThanOrEqual">
      <formula>#REF!</formula>
    </cfRule>
    <cfRule type="cellIs" dxfId="469" priority="503" stopIfTrue="1" operator="between">
      <formula>#REF!</formula>
      <formula>#REF!</formula>
    </cfRule>
    <cfRule type="cellIs" dxfId="468" priority="504" stopIfTrue="1" operator="greaterThanOrEqual">
      <formula>#REF!</formula>
    </cfRule>
  </conditionalFormatting>
  <conditionalFormatting sqref="AB582">
    <cfRule type="cellIs" dxfId="467" priority="493" stopIfTrue="1" operator="lessThanOrEqual">
      <formula>$I$8</formula>
    </cfRule>
    <cfRule type="cellIs" dxfId="466" priority="494" stopIfTrue="1" operator="between">
      <formula>$I$8</formula>
      <formula>$J$8</formula>
    </cfRule>
    <cfRule type="cellIs" dxfId="465" priority="495" stopIfTrue="1" operator="greaterThanOrEqual">
      <formula>$J$8</formula>
    </cfRule>
  </conditionalFormatting>
  <conditionalFormatting sqref="W582 AA582">
    <cfRule type="cellIs" dxfId="464" priority="520" stopIfTrue="1" operator="lessThanOrEqual">
      <formula>#REF!</formula>
    </cfRule>
    <cfRule type="cellIs" dxfId="463" priority="521" stopIfTrue="1" operator="between">
      <formula>#REF!</formula>
      <formula>#REF!</formula>
    </cfRule>
    <cfRule type="cellIs" dxfId="462" priority="522" stopIfTrue="1" operator="greaterThanOrEqual">
      <formula>#REF!</formula>
    </cfRule>
  </conditionalFormatting>
  <conditionalFormatting sqref="Y582">
    <cfRule type="cellIs" dxfId="461" priority="517" stopIfTrue="1" operator="lessThanOrEqual">
      <formula>$I$8</formula>
    </cfRule>
    <cfRule type="cellIs" dxfId="460" priority="518" stopIfTrue="1" operator="between">
      <formula>$I$8</formula>
      <formula>$J$8</formula>
    </cfRule>
    <cfRule type="cellIs" dxfId="459" priority="519" stopIfTrue="1" operator="greaterThanOrEqual">
      <formula>$J$8</formula>
    </cfRule>
  </conditionalFormatting>
  <conditionalFormatting sqref="Y582">
    <cfRule type="cellIs" dxfId="458" priority="514" stopIfTrue="1" operator="lessThanOrEqual">
      <formula>#REF!</formula>
    </cfRule>
    <cfRule type="cellIs" dxfId="457" priority="515" stopIfTrue="1" operator="between">
      <formula>#REF!</formula>
      <formula>#REF!</formula>
    </cfRule>
    <cfRule type="cellIs" dxfId="456" priority="516" stopIfTrue="1" operator="greaterThanOrEqual">
      <formula>#REF!</formula>
    </cfRule>
  </conditionalFormatting>
  <conditionalFormatting sqref="AC582">
    <cfRule type="cellIs" dxfId="455" priority="511" stopIfTrue="1" operator="lessThanOrEqual">
      <formula>$I$8</formula>
    </cfRule>
    <cfRule type="cellIs" dxfId="454" priority="512" stopIfTrue="1" operator="between">
      <formula>$I$8</formula>
      <formula>$J$8</formula>
    </cfRule>
    <cfRule type="cellIs" dxfId="453" priority="513" stopIfTrue="1" operator="greaterThanOrEqual">
      <formula>$J$8</formula>
    </cfRule>
  </conditionalFormatting>
  <conditionalFormatting sqref="AC582">
    <cfRule type="cellIs" dxfId="452" priority="508" stopIfTrue="1" operator="lessThanOrEqual">
      <formula>#REF!</formula>
    </cfRule>
    <cfRule type="cellIs" dxfId="451" priority="509" stopIfTrue="1" operator="between">
      <formula>#REF!</formula>
      <formula>#REF!</formula>
    </cfRule>
    <cfRule type="cellIs" dxfId="450" priority="510" stopIfTrue="1" operator="greaterThanOrEqual">
      <formula>#REF!</formula>
    </cfRule>
  </conditionalFormatting>
  <conditionalFormatting sqref="Z582">
    <cfRule type="cellIs" dxfId="449" priority="496" stopIfTrue="1" operator="lessThanOrEqual">
      <formula>#REF!</formula>
    </cfRule>
    <cfRule type="cellIs" dxfId="448" priority="497" stopIfTrue="1" operator="between">
      <formula>#REF!</formula>
      <formula>#REF!</formula>
    </cfRule>
    <cfRule type="cellIs" dxfId="447" priority="498" stopIfTrue="1" operator="greaterThanOrEqual">
      <formula>#REF!</formula>
    </cfRule>
  </conditionalFormatting>
  <conditionalFormatting sqref="AB582">
    <cfRule type="cellIs" dxfId="446" priority="490" stopIfTrue="1" operator="lessThanOrEqual">
      <formula>#REF!</formula>
    </cfRule>
    <cfRule type="cellIs" dxfId="445" priority="491" stopIfTrue="1" operator="between">
      <formula>#REF!</formula>
      <formula>#REF!</formula>
    </cfRule>
    <cfRule type="cellIs" dxfId="444" priority="492" stopIfTrue="1" operator="greaterThanOrEqual">
      <formula>#REF!</formula>
    </cfRule>
  </conditionalFormatting>
  <conditionalFormatting sqref="W585">
    <cfRule type="cellIs" dxfId="443" priority="487" stopIfTrue="1" operator="lessThanOrEqual">
      <formula>$I$8</formula>
    </cfRule>
    <cfRule type="cellIs" dxfId="442" priority="488" stopIfTrue="1" operator="between">
      <formula>$I$8</formula>
      <formula>$J$8</formula>
    </cfRule>
    <cfRule type="cellIs" dxfId="441" priority="489" stopIfTrue="1" operator="greaterThanOrEqual">
      <formula>$J$8</formula>
    </cfRule>
  </conditionalFormatting>
  <conditionalFormatting sqref="W585 AA585">
    <cfRule type="cellIs" dxfId="440" priority="484" stopIfTrue="1" operator="lessThanOrEqual">
      <formula>#REF!</formula>
    </cfRule>
    <cfRule type="cellIs" dxfId="439" priority="485" stopIfTrue="1" operator="between">
      <formula>#REF!</formula>
      <formula>#REF!</formula>
    </cfRule>
    <cfRule type="cellIs" dxfId="438" priority="486" stopIfTrue="1" operator="greaterThanOrEqual">
      <formula>#REF!</formula>
    </cfRule>
  </conditionalFormatting>
  <conditionalFormatting sqref="Y585">
    <cfRule type="cellIs" dxfId="437" priority="481" stopIfTrue="1" operator="lessThanOrEqual">
      <formula>$I$8</formula>
    </cfRule>
    <cfRule type="cellIs" dxfId="436" priority="482" stopIfTrue="1" operator="between">
      <formula>$I$8</formula>
      <formula>$J$8</formula>
    </cfRule>
    <cfRule type="cellIs" dxfId="435" priority="483" stopIfTrue="1" operator="greaterThanOrEqual">
      <formula>$J$8</formula>
    </cfRule>
  </conditionalFormatting>
  <conditionalFormatting sqref="Y585">
    <cfRule type="cellIs" dxfId="434" priority="478" stopIfTrue="1" operator="lessThanOrEqual">
      <formula>#REF!</formula>
    </cfRule>
    <cfRule type="cellIs" dxfId="433" priority="479" stopIfTrue="1" operator="between">
      <formula>#REF!</formula>
      <formula>#REF!</formula>
    </cfRule>
    <cfRule type="cellIs" dxfId="432" priority="480" stopIfTrue="1" operator="greaterThanOrEqual">
      <formula>#REF!</formula>
    </cfRule>
  </conditionalFormatting>
  <conditionalFormatting sqref="AC585">
    <cfRule type="cellIs" dxfId="431" priority="472" stopIfTrue="1" operator="lessThanOrEqual">
      <formula>#REF!</formula>
    </cfRule>
    <cfRule type="cellIs" dxfId="430" priority="473" stopIfTrue="1" operator="between">
      <formula>#REF!</formula>
      <formula>#REF!</formula>
    </cfRule>
    <cfRule type="cellIs" dxfId="429" priority="474" stopIfTrue="1" operator="greaterThanOrEqual">
      <formula>#REF!</formula>
    </cfRule>
  </conditionalFormatting>
  <conditionalFormatting sqref="X594">
    <cfRule type="cellIs" dxfId="428" priority="448" stopIfTrue="1" operator="lessThanOrEqual">
      <formula>#REF!</formula>
    </cfRule>
    <cfRule type="cellIs" dxfId="427" priority="449" stopIfTrue="1" operator="between">
      <formula>#REF!</formula>
      <formula>#REF!</formula>
    </cfRule>
    <cfRule type="cellIs" dxfId="426" priority="450" stopIfTrue="1" operator="greaterThanOrEqual">
      <formula>#REF!</formula>
    </cfRule>
  </conditionalFormatting>
  <conditionalFormatting sqref="W594">
    <cfRule type="cellIs" dxfId="425" priority="469" stopIfTrue="1" operator="lessThanOrEqual">
      <formula>$I$8</formula>
    </cfRule>
    <cfRule type="cellIs" dxfId="424" priority="470" stopIfTrue="1" operator="between">
      <formula>$I$8</formula>
      <formula>$J$8</formula>
    </cfRule>
    <cfRule type="cellIs" dxfId="423" priority="471" stopIfTrue="1" operator="greaterThanOrEqual">
      <formula>$J$8</formula>
    </cfRule>
  </conditionalFormatting>
  <conditionalFormatting sqref="W594 AA594">
    <cfRule type="cellIs" dxfId="422" priority="466" stopIfTrue="1" operator="lessThanOrEqual">
      <formula>#REF!</formula>
    </cfRule>
    <cfRule type="cellIs" dxfId="421" priority="467" stopIfTrue="1" operator="between">
      <formula>#REF!</formula>
      <formula>#REF!</formula>
    </cfRule>
    <cfRule type="cellIs" dxfId="420" priority="468" stopIfTrue="1" operator="greaterThanOrEqual">
      <formula>#REF!</formula>
    </cfRule>
  </conditionalFormatting>
  <conditionalFormatting sqref="Y594">
    <cfRule type="cellIs" dxfId="419" priority="463" stopIfTrue="1" operator="lessThanOrEqual">
      <formula>$I$8</formula>
    </cfRule>
    <cfRule type="cellIs" dxfId="418" priority="464" stopIfTrue="1" operator="between">
      <formula>$I$8</formula>
      <formula>$J$8</formula>
    </cfRule>
    <cfRule type="cellIs" dxfId="417" priority="465" stopIfTrue="1" operator="greaterThanOrEqual">
      <formula>$J$8</formula>
    </cfRule>
  </conditionalFormatting>
  <conditionalFormatting sqref="Y594">
    <cfRule type="cellIs" dxfId="416" priority="460" stopIfTrue="1" operator="lessThanOrEqual">
      <formula>#REF!</formula>
    </cfRule>
    <cfRule type="cellIs" dxfId="415" priority="461" stopIfTrue="1" operator="between">
      <formula>#REF!</formula>
      <formula>#REF!</formula>
    </cfRule>
    <cfRule type="cellIs" dxfId="414" priority="462" stopIfTrue="1" operator="greaterThanOrEqual">
      <formula>#REF!</formula>
    </cfRule>
  </conditionalFormatting>
  <conditionalFormatting sqref="AC594">
    <cfRule type="cellIs" dxfId="413" priority="457" stopIfTrue="1" operator="lessThanOrEqual">
      <formula>$I$8</formula>
    </cfRule>
    <cfRule type="cellIs" dxfId="412" priority="458" stopIfTrue="1" operator="between">
      <formula>$I$8</formula>
      <formula>$J$8</formula>
    </cfRule>
    <cfRule type="cellIs" dxfId="411" priority="459" stopIfTrue="1" operator="greaterThanOrEqual">
      <formula>$J$8</formula>
    </cfRule>
  </conditionalFormatting>
  <conditionalFormatting sqref="AC594">
    <cfRule type="cellIs" dxfId="410" priority="454" stopIfTrue="1" operator="lessThanOrEqual">
      <formula>#REF!</formula>
    </cfRule>
    <cfRule type="cellIs" dxfId="409" priority="455" stopIfTrue="1" operator="between">
      <formula>#REF!</formula>
      <formula>#REF!</formula>
    </cfRule>
    <cfRule type="cellIs" dxfId="408" priority="456" stopIfTrue="1" operator="greaterThanOrEqual">
      <formula>#REF!</formula>
    </cfRule>
  </conditionalFormatting>
  <conditionalFormatting sqref="Z594">
    <cfRule type="cellIs" dxfId="407" priority="442" stopIfTrue="1" operator="lessThanOrEqual">
      <formula>#REF!</formula>
    </cfRule>
    <cfRule type="cellIs" dxfId="406" priority="443" stopIfTrue="1" operator="between">
      <formula>#REF!</formula>
      <formula>#REF!</formula>
    </cfRule>
    <cfRule type="cellIs" dxfId="405" priority="444" stopIfTrue="1" operator="greaterThanOrEqual">
      <formula>#REF!</formula>
    </cfRule>
  </conditionalFormatting>
  <conditionalFormatting sqref="AB594">
    <cfRule type="cellIs" dxfId="404" priority="436" stopIfTrue="1" operator="lessThanOrEqual">
      <formula>#REF!</formula>
    </cfRule>
    <cfRule type="cellIs" dxfId="403" priority="437" stopIfTrue="1" operator="between">
      <formula>#REF!</formula>
      <formula>#REF!</formula>
    </cfRule>
    <cfRule type="cellIs" dxfId="402" priority="438" stopIfTrue="1" operator="greaterThanOrEqual">
      <formula>#REF!</formula>
    </cfRule>
  </conditionalFormatting>
  <conditionalFormatting sqref="X597">
    <cfRule type="cellIs" dxfId="401" priority="433" stopIfTrue="1" operator="lessThanOrEqual">
      <formula>$I$8</formula>
    </cfRule>
    <cfRule type="cellIs" dxfId="400" priority="434" stopIfTrue="1" operator="between">
      <formula>$I$8</formula>
      <formula>$J$8</formula>
    </cfRule>
    <cfRule type="cellIs" dxfId="399" priority="435" stopIfTrue="1" operator="greaterThanOrEqual">
      <formula>$J$8</formula>
    </cfRule>
  </conditionalFormatting>
  <conditionalFormatting sqref="X597">
    <cfRule type="cellIs" dxfId="398" priority="430" stopIfTrue="1" operator="lessThanOrEqual">
      <formula>#REF!</formula>
    </cfRule>
    <cfRule type="cellIs" dxfId="397" priority="431" stopIfTrue="1" operator="between">
      <formula>#REF!</formula>
      <formula>#REF!</formula>
    </cfRule>
    <cfRule type="cellIs" dxfId="396" priority="432" stopIfTrue="1" operator="greaterThanOrEqual">
      <formula>#REF!</formula>
    </cfRule>
  </conditionalFormatting>
  <conditionalFormatting sqref="AB597">
    <cfRule type="cellIs" dxfId="395" priority="427" stopIfTrue="1" operator="lessThanOrEqual">
      <formula>$I$8</formula>
    </cfRule>
    <cfRule type="cellIs" dxfId="394" priority="428" stopIfTrue="1" operator="between">
      <formula>$I$8</formula>
      <formula>$J$8</formula>
    </cfRule>
    <cfRule type="cellIs" dxfId="393" priority="429" stopIfTrue="1" operator="greaterThanOrEqual">
      <formula>$J$8</formula>
    </cfRule>
  </conditionalFormatting>
  <conditionalFormatting sqref="AB597">
    <cfRule type="cellIs" dxfId="392" priority="424" stopIfTrue="1" operator="lessThanOrEqual">
      <formula>#REF!</formula>
    </cfRule>
    <cfRule type="cellIs" dxfId="391" priority="425" stopIfTrue="1" operator="between">
      <formula>#REF!</formula>
      <formula>#REF!</formula>
    </cfRule>
    <cfRule type="cellIs" dxfId="390" priority="426" stopIfTrue="1" operator="greaterThanOrEqual">
      <formula>#REF!</formula>
    </cfRule>
  </conditionalFormatting>
  <conditionalFormatting sqref="X609">
    <cfRule type="cellIs" dxfId="389" priority="412" stopIfTrue="1" operator="lessThanOrEqual">
      <formula>#REF!</formula>
    </cfRule>
    <cfRule type="cellIs" dxfId="388" priority="413" stopIfTrue="1" operator="between">
      <formula>#REF!</formula>
      <formula>#REF!</formula>
    </cfRule>
    <cfRule type="cellIs" dxfId="387" priority="414" stopIfTrue="1" operator="greaterThanOrEqual">
      <formula>#REF!</formula>
    </cfRule>
  </conditionalFormatting>
  <conditionalFormatting sqref="W609">
    <cfRule type="cellIs" dxfId="386" priority="421" stopIfTrue="1" operator="lessThanOrEqual">
      <formula>$I$8</formula>
    </cfRule>
    <cfRule type="cellIs" dxfId="385" priority="422" stopIfTrue="1" operator="between">
      <formula>$I$8</formula>
      <formula>$J$8</formula>
    </cfRule>
    <cfRule type="cellIs" dxfId="384" priority="423" stopIfTrue="1" operator="greaterThanOrEqual">
      <formula>$J$8</formula>
    </cfRule>
  </conditionalFormatting>
  <conditionalFormatting sqref="W609 AA609">
    <cfRule type="cellIs" dxfId="383" priority="418" stopIfTrue="1" operator="lessThanOrEqual">
      <formula>#REF!</formula>
    </cfRule>
    <cfRule type="cellIs" dxfId="382" priority="419" stopIfTrue="1" operator="between">
      <formula>#REF!</formula>
      <formula>#REF!</formula>
    </cfRule>
    <cfRule type="cellIs" dxfId="381" priority="420" stopIfTrue="1" operator="greaterThanOrEqual">
      <formula>#REF!</formula>
    </cfRule>
  </conditionalFormatting>
  <conditionalFormatting sqref="AB609">
    <cfRule type="cellIs" dxfId="380" priority="406" stopIfTrue="1" operator="lessThanOrEqual">
      <formula>#REF!</formula>
    </cfRule>
    <cfRule type="cellIs" dxfId="379" priority="407" stopIfTrue="1" operator="between">
      <formula>#REF!</formula>
      <formula>#REF!</formula>
    </cfRule>
    <cfRule type="cellIs" dxfId="378" priority="408" stopIfTrue="1" operator="greaterThanOrEqual">
      <formula>#REF!</formula>
    </cfRule>
  </conditionalFormatting>
  <conditionalFormatting sqref="X612">
    <cfRule type="cellIs" dxfId="377" priority="385" stopIfTrue="1" operator="lessThanOrEqual">
      <formula>$I$8</formula>
    </cfRule>
    <cfRule type="cellIs" dxfId="376" priority="386" stopIfTrue="1" operator="between">
      <formula>$I$8</formula>
      <formula>$J$8</formula>
    </cfRule>
    <cfRule type="cellIs" dxfId="375" priority="387" stopIfTrue="1" operator="greaterThanOrEqual">
      <formula>$J$8</formula>
    </cfRule>
  </conditionalFormatting>
  <conditionalFormatting sqref="X612">
    <cfRule type="cellIs" dxfId="374" priority="382" stopIfTrue="1" operator="lessThanOrEqual">
      <formula>#REF!</formula>
    </cfRule>
    <cfRule type="cellIs" dxfId="373" priority="383" stopIfTrue="1" operator="between">
      <formula>#REF!</formula>
      <formula>#REF!</formula>
    </cfRule>
    <cfRule type="cellIs" dxfId="372" priority="384" stopIfTrue="1" operator="greaterThanOrEqual">
      <formula>#REF!</formula>
    </cfRule>
  </conditionalFormatting>
  <conditionalFormatting sqref="Z612">
    <cfRule type="cellIs" dxfId="371" priority="379" stopIfTrue="1" operator="lessThanOrEqual">
      <formula>$I$8</formula>
    </cfRule>
    <cfRule type="cellIs" dxfId="370" priority="380" stopIfTrue="1" operator="between">
      <formula>$I$8</formula>
      <formula>$J$8</formula>
    </cfRule>
    <cfRule type="cellIs" dxfId="369" priority="381" stopIfTrue="1" operator="greaterThanOrEqual">
      <formula>$J$8</formula>
    </cfRule>
  </conditionalFormatting>
  <conditionalFormatting sqref="AB612">
    <cfRule type="cellIs" dxfId="368" priority="373" stopIfTrue="1" operator="lessThanOrEqual">
      <formula>$I$8</formula>
    </cfRule>
    <cfRule type="cellIs" dxfId="367" priority="374" stopIfTrue="1" operator="between">
      <formula>$I$8</formula>
      <formula>$J$8</formula>
    </cfRule>
    <cfRule type="cellIs" dxfId="366" priority="375" stopIfTrue="1" operator="greaterThanOrEqual">
      <formula>$J$8</formula>
    </cfRule>
  </conditionalFormatting>
  <conditionalFormatting sqref="Y612">
    <cfRule type="cellIs" dxfId="365" priority="397" stopIfTrue="1" operator="lessThanOrEqual">
      <formula>$I$8</formula>
    </cfRule>
    <cfRule type="cellIs" dxfId="364" priority="398" stopIfTrue="1" operator="between">
      <formula>$I$8</formula>
      <formula>$J$8</formula>
    </cfRule>
    <cfRule type="cellIs" dxfId="363" priority="399" stopIfTrue="1" operator="greaterThanOrEqual">
      <formula>$J$8</formula>
    </cfRule>
  </conditionalFormatting>
  <conditionalFormatting sqref="Y612">
    <cfRule type="cellIs" dxfId="362" priority="394" stopIfTrue="1" operator="lessThanOrEqual">
      <formula>#REF!</formula>
    </cfRule>
    <cfRule type="cellIs" dxfId="361" priority="395" stopIfTrue="1" operator="between">
      <formula>#REF!</formula>
      <formula>#REF!</formula>
    </cfRule>
    <cfRule type="cellIs" dxfId="360" priority="396" stopIfTrue="1" operator="greaterThanOrEqual">
      <formula>#REF!</formula>
    </cfRule>
  </conditionalFormatting>
  <conditionalFormatting sqref="AC612">
    <cfRule type="cellIs" dxfId="359" priority="391" stopIfTrue="1" operator="lessThanOrEqual">
      <formula>$I$8</formula>
    </cfRule>
    <cfRule type="cellIs" dxfId="358" priority="392" stopIfTrue="1" operator="between">
      <formula>$I$8</formula>
      <formula>$J$8</formula>
    </cfRule>
    <cfRule type="cellIs" dxfId="357" priority="393" stopIfTrue="1" operator="greaterThanOrEqual">
      <formula>$J$8</formula>
    </cfRule>
  </conditionalFormatting>
  <conditionalFormatting sqref="AC612">
    <cfRule type="cellIs" dxfId="356" priority="388" stopIfTrue="1" operator="lessThanOrEqual">
      <formula>#REF!</formula>
    </cfRule>
    <cfRule type="cellIs" dxfId="355" priority="389" stopIfTrue="1" operator="between">
      <formula>#REF!</formula>
      <formula>#REF!</formula>
    </cfRule>
    <cfRule type="cellIs" dxfId="354" priority="390" stopIfTrue="1" operator="greaterThanOrEqual">
      <formula>#REF!</formula>
    </cfRule>
  </conditionalFormatting>
  <conditionalFormatting sqref="Z612">
    <cfRule type="cellIs" dxfId="353" priority="376" stopIfTrue="1" operator="lessThanOrEqual">
      <formula>#REF!</formula>
    </cfRule>
    <cfRule type="cellIs" dxfId="352" priority="377" stopIfTrue="1" operator="between">
      <formula>#REF!</formula>
      <formula>#REF!</formula>
    </cfRule>
    <cfRule type="cellIs" dxfId="351" priority="378" stopIfTrue="1" operator="greaterThanOrEqual">
      <formula>#REF!</formula>
    </cfRule>
  </conditionalFormatting>
  <conditionalFormatting sqref="AB612">
    <cfRule type="cellIs" dxfId="350" priority="370" stopIfTrue="1" operator="lessThanOrEqual">
      <formula>#REF!</formula>
    </cfRule>
    <cfRule type="cellIs" dxfId="349" priority="371" stopIfTrue="1" operator="between">
      <formula>#REF!</formula>
      <formula>#REF!</formula>
    </cfRule>
    <cfRule type="cellIs" dxfId="348" priority="372" stopIfTrue="1" operator="greaterThanOrEqual">
      <formula>#REF!</formula>
    </cfRule>
  </conditionalFormatting>
  <conditionalFormatting sqref="X615">
    <cfRule type="cellIs" dxfId="347" priority="349" stopIfTrue="1" operator="lessThanOrEqual">
      <formula>$I$8</formula>
    </cfRule>
    <cfRule type="cellIs" dxfId="346" priority="350" stopIfTrue="1" operator="between">
      <formula>$I$8</formula>
      <formula>$J$8</formula>
    </cfRule>
    <cfRule type="cellIs" dxfId="345" priority="351" stopIfTrue="1" operator="greaterThanOrEqual">
      <formula>$J$8</formula>
    </cfRule>
  </conditionalFormatting>
  <conditionalFormatting sqref="X615">
    <cfRule type="cellIs" dxfId="344" priority="346" stopIfTrue="1" operator="lessThanOrEqual">
      <formula>#REF!</formula>
    </cfRule>
    <cfRule type="cellIs" dxfId="343" priority="347" stopIfTrue="1" operator="between">
      <formula>#REF!</formula>
      <formula>#REF!</formula>
    </cfRule>
    <cfRule type="cellIs" dxfId="342" priority="348" stopIfTrue="1" operator="greaterThanOrEqual">
      <formula>#REF!</formula>
    </cfRule>
  </conditionalFormatting>
  <conditionalFormatting sqref="W615">
    <cfRule type="cellIs" dxfId="341" priority="367" stopIfTrue="1" operator="lessThanOrEqual">
      <formula>$I$8</formula>
    </cfRule>
    <cfRule type="cellIs" dxfId="340" priority="368" stopIfTrue="1" operator="between">
      <formula>$I$8</formula>
      <formula>$J$8</formula>
    </cfRule>
    <cfRule type="cellIs" dxfId="339" priority="369" stopIfTrue="1" operator="greaterThanOrEqual">
      <formula>$J$8</formula>
    </cfRule>
  </conditionalFormatting>
  <conditionalFormatting sqref="W615 AA615">
    <cfRule type="cellIs" dxfId="338" priority="364" stopIfTrue="1" operator="lessThanOrEqual">
      <formula>#REF!</formula>
    </cfRule>
    <cfRule type="cellIs" dxfId="337" priority="365" stopIfTrue="1" operator="between">
      <formula>#REF!</formula>
      <formula>#REF!</formula>
    </cfRule>
    <cfRule type="cellIs" dxfId="336" priority="366" stopIfTrue="1" operator="greaterThanOrEqual">
      <formula>#REF!</formula>
    </cfRule>
  </conditionalFormatting>
  <conditionalFormatting sqref="Y615">
    <cfRule type="cellIs" dxfId="335" priority="358" stopIfTrue="1" operator="lessThanOrEqual">
      <formula>#REF!</formula>
    </cfRule>
    <cfRule type="cellIs" dxfId="334" priority="359" stopIfTrue="1" operator="between">
      <formula>#REF!</formula>
      <formula>#REF!</formula>
    </cfRule>
    <cfRule type="cellIs" dxfId="333" priority="360" stopIfTrue="1" operator="greaterThanOrEqual">
      <formula>#REF!</formula>
    </cfRule>
  </conditionalFormatting>
  <conditionalFormatting sqref="AC615">
    <cfRule type="cellIs" dxfId="332" priority="355" stopIfTrue="1" operator="lessThanOrEqual">
      <formula>$I$8</formula>
    </cfRule>
    <cfRule type="cellIs" dxfId="331" priority="356" stopIfTrue="1" operator="between">
      <formula>$I$8</formula>
      <formula>$J$8</formula>
    </cfRule>
    <cfRule type="cellIs" dxfId="330" priority="357" stopIfTrue="1" operator="greaterThanOrEqual">
      <formula>$J$8</formula>
    </cfRule>
  </conditionalFormatting>
  <conditionalFormatting sqref="AC615">
    <cfRule type="cellIs" dxfId="329" priority="352" stopIfTrue="1" operator="lessThanOrEqual">
      <formula>#REF!</formula>
    </cfRule>
    <cfRule type="cellIs" dxfId="328" priority="353" stopIfTrue="1" operator="between">
      <formula>#REF!</formula>
      <formula>#REF!</formula>
    </cfRule>
    <cfRule type="cellIs" dxfId="327" priority="354" stopIfTrue="1" operator="greaterThanOrEqual">
      <formula>#REF!</formula>
    </cfRule>
  </conditionalFormatting>
  <conditionalFormatting sqref="Z615">
    <cfRule type="cellIs" dxfId="326" priority="340" stopIfTrue="1" operator="lessThanOrEqual">
      <formula>#REF!</formula>
    </cfRule>
    <cfRule type="cellIs" dxfId="325" priority="341" stopIfTrue="1" operator="between">
      <formula>#REF!</formula>
      <formula>#REF!</formula>
    </cfRule>
    <cfRule type="cellIs" dxfId="324" priority="342" stopIfTrue="1" operator="greaterThanOrEqual">
      <formula>#REF!</formula>
    </cfRule>
  </conditionalFormatting>
  <conditionalFormatting sqref="AB615">
    <cfRule type="cellIs" dxfId="323" priority="334" stopIfTrue="1" operator="lessThanOrEqual">
      <formula>#REF!</formula>
    </cfRule>
    <cfRule type="cellIs" dxfId="322" priority="335" stopIfTrue="1" operator="between">
      <formula>#REF!</formula>
      <formula>#REF!</formula>
    </cfRule>
    <cfRule type="cellIs" dxfId="321" priority="336" stopIfTrue="1" operator="greaterThanOrEqual">
      <formula>#REF!</formula>
    </cfRule>
  </conditionalFormatting>
  <conditionalFormatting sqref="AB555">
    <cfRule type="cellIs" dxfId="320" priority="259" stopIfTrue="1" operator="lessThanOrEqual">
      <formula>$I$8</formula>
    </cfRule>
    <cfRule type="cellIs" dxfId="319" priority="260" stopIfTrue="1" operator="between">
      <formula>$I$8</formula>
      <formula>$J$8</formula>
    </cfRule>
    <cfRule type="cellIs" dxfId="318" priority="261" stopIfTrue="1" operator="greaterThanOrEqual">
      <formula>$J$8</formula>
    </cfRule>
  </conditionalFormatting>
  <conditionalFormatting sqref="AC555">
    <cfRule type="cellIs" dxfId="317" priority="253" stopIfTrue="1" operator="lessThanOrEqual">
      <formula>$I$8</formula>
    </cfRule>
    <cfRule type="cellIs" dxfId="316" priority="254" stopIfTrue="1" operator="between">
      <formula>$I$8</formula>
      <formula>$J$8</formula>
    </cfRule>
    <cfRule type="cellIs" dxfId="315" priority="255" stopIfTrue="1" operator="greaterThanOrEqual">
      <formula>$J$8</formula>
    </cfRule>
  </conditionalFormatting>
  <conditionalFormatting sqref="AB564">
    <cfRule type="cellIs" dxfId="314" priority="205" stopIfTrue="1" operator="lessThanOrEqual">
      <formula>$I$8</formula>
    </cfRule>
    <cfRule type="cellIs" dxfId="313" priority="206" stopIfTrue="1" operator="between">
      <formula>$I$8</formula>
      <formula>$J$8</formula>
    </cfRule>
    <cfRule type="cellIs" dxfId="312" priority="207" stopIfTrue="1" operator="greaterThanOrEqual">
      <formula>$J$8</formula>
    </cfRule>
  </conditionalFormatting>
  <conditionalFormatting sqref="AA570 AC570">
    <cfRule type="cellIs" dxfId="311" priority="187" stopIfTrue="1" operator="lessThanOrEqual">
      <formula>$I$8</formula>
    </cfRule>
    <cfRule type="cellIs" dxfId="310" priority="188" stopIfTrue="1" operator="between">
      <formula>$I$8</formula>
      <formula>$J$8</formula>
    </cfRule>
    <cfRule type="cellIs" dxfId="309" priority="189" stopIfTrue="1" operator="greaterThanOrEqual">
      <formula>$J$8</formula>
    </cfRule>
  </conditionalFormatting>
  <conditionalFormatting sqref="W570">
    <cfRule type="cellIs" dxfId="308" priority="193" stopIfTrue="1" operator="lessThanOrEqual">
      <formula>$I$8</formula>
    </cfRule>
    <cfRule type="cellIs" dxfId="307" priority="194" stopIfTrue="1" operator="between">
      <formula>$I$8</formula>
      <formula>$J$8</formula>
    </cfRule>
    <cfRule type="cellIs" dxfId="306" priority="195" stopIfTrue="1" operator="greaterThanOrEqual">
      <formula>$J$8</formula>
    </cfRule>
  </conditionalFormatting>
  <conditionalFormatting sqref="X558">
    <cfRule type="cellIs" dxfId="305" priority="217" stopIfTrue="1" operator="lessThanOrEqual">
      <formula>$I$8</formula>
    </cfRule>
    <cfRule type="cellIs" dxfId="304" priority="218" stopIfTrue="1" operator="between">
      <formula>$I$8</formula>
      <formula>$J$8</formula>
    </cfRule>
    <cfRule type="cellIs" dxfId="303" priority="219" stopIfTrue="1" operator="greaterThanOrEqual">
      <formula>$J$8</formula>
    </cfRule>
  </conditionalFormatting>
  <conditionalFormatting sqref="AB558">
    <cfRule type="cellIs" dxfId="302" priority="211" stopIfTrue="1" operator="lessThanOrEqual">
      <formula>$I$8</formula>
    </cfRule>
    <cfRule type="cellIs" dxfId="301" priority="212" stopIfTrue="1" operator="between">
      <formula>$I$8</formula>
      <formula>$J$8</formula>
    </cfRule>
    <cfRule type="cellIs" dxfId="300" priority="213" stopIfTrue="1" operator="greaterThanOrEqual">
      <formula>$J$8</formula>
    </cfRule>
  </conditionalFormatting>
  <conditionalFormatting sqref="X564">
    <cfRule type="cellIs" dxfId="299" priority="199" stopIfTrue="1" operator="lessThanOrEqual">
      <formula>$I$8</formula>
    </cfRule>
    <cfRule type="cellIs" dxfId="298" priority="200" stopIfTrue="1" operator="between">
      <formula>$I$8</formula>
      <formula>$J$8</formula>
    </cfRule>
    <cfRule type="cellIs" dxfId="297" priority="201" stopIfTrue="1" operator="greaterThanOrEqual">
      <formula>$J$8</formula>
    </cfRule>
  </conditionalFormatting>
  <conditionalFormatting sqref="Z552">
    <cfRule type="cellIs" dxfId="296" priority="301" stopIfTrue="1" operator="lessThanOrEqual">
      <formula>$I$8</formula>
    </cfRule>
    <cfRule type="cellIs" dxfId="295" priority="302" stopIfTrue="1" operator="between">
      <formula>$I$8</formula>
      <formula>$J$8</formula>
    </cfRule>
    <cfRule type="cellIs" dxfId="294" priority="303" stopIfTrue="1" operator="greaterThanOrEqual">
      <formula>$J$8</formula>
    </cfRule>
  </conditionalFormatting>
  <conditionalFormatting sqref="AB552">
    <cfRule type="cellIs" dxfId="293" priority="295" stopIfTrue="1" operator="lessThanOrEqual">
      <formula>$I$8</formula>
    </cfRule>
    <cfRule type="cellIs" dxfId="292" priority="296" stopIfTrue="1" operator="between">
      <formula>$I$8</formula>
      <formula>$J$8</formula>
    </cfRule>
    <cfRule type="cellIs" dxfId="291" priority="297" stopIfTrue="1" operator="greaterThanOrEqual">
      <formula>$J$8</formula>
    </cfRule>
  </conditionalFormatting>
  <conditionalFormatting sqref="W555">
    <cfRule type="cellIs" dxfId="290" priority="283" stopIfTrue="1" operator="lessThanOrEqual">
      <formula>$I$8</formula>
    </cfRule>
    <cfRule type="cellIs" dxfId="289" priority="284" stopIfTrue="1" operator="between">
      <formula>$I$8</formula>
      <formula>$J$8</formula>
    </cfRule>
    <cfRule type="cellIs" dxfId="288" priority="285" stopIfTrue="1" operator="greaterThanOrEqual">
      <formula>$J$8</formula>
    </cfRule>
  </conditionalFormatting>
  <conditionalFormatting sqref="AA567">
    <cfRule type="cellIs" dxfId="287" priority="325" stopIfTrue="1" operator="lessThanOrEqual">
      <formula>$I$8</formula>
    </cfRule>
    <cfRule type="cellIs" dxfId="286" priority="326" stopIfTrue="1" operator="between">
      <formula>$I$8</formula>
      <formula>$J$8</formula>
    </cfRule>
    <cfRule type="cellIs" dxfId="285" priority="327" stopIfTrue="1" operator="greaterThanOrEqual">
      <formula>$J$8</formula>
    </cfRule>
  </conditionalFormatting>
  <conditionalFormatting sqref="Y552">
    <cfRule type="cellIs" dxfId="284" priority="319" stopIfTrue="1" operator="lessThanOrEqual">
      <formula>$I$8</formula>
    </cfRule>
    <cfRule type="cellIs" dxfId="283" priority="320" stopIfTrue="1" operator="between">
      <formula>$I$8</formula>
      <formula>$J$8</formula>
    </cfRule>
    <cfRule type="cellIs" dxfId="282" priority="321" stopIfTrue="1" operator="greaterThanOrEqual">
      <formula>$J$8</formula>
    </cfRule>
  </conditionalFormatting>
  <conditionalFormatting sqref="AC552">
    <cfRule type="cellIs" dxfId="281" priority="313" stopIfTrue="1" operator="lessThanOrEqual">
      <formula>$I$8</formula>
    </cfRule>
    <cfRule type="cellIs" dxfId="280" priority="314" stopIfTrue="1" operator="between">
      <formula>$I$8</formula>
      <formula>$J$8</formula>
    </cfRule>
    <cfRule type="cellIs" dxfId="279" priority="315" stopIfTrue="1" operator="greaterThanOrEqual">
      <formula>$J$8</formula>
    </cfRule>
  </conditionalFormatting>
  <conditionalFormatting sqref="X552">
    <cfRule type="cellIs" dxfId="278" priority="307" stopIfTrue="1" operator="lessThanOrEqual">
      <formula>$I$8</formula>
    </cfRule>
    <cfRule type="cellIs" dxfId="277" priority="308" stopIfTrue="1" operator="between">
      <formula>$I$8</formula>
      <formula>$J$8</formula>
    </cfRule>
    <cfRule type="cellIs" dxfId="276" priority="309" stopIfTrue="1" operator="greaterThanOrEqual">
      <formula>$J$8</formula>
    </cfRule>
  </conditionalFormatting>
  <conditionalFormatting sqref="AB561">
    <cfRule type="cellIs" dxfId="275" priority="289" stopIfTrue="1" operator="lessThanOrEqual">
      <formula>$I$8</formula>
    </cfRule>
    <cfRule type="cellIs" dxfId="274" priority="290" stopIfTrue="1" operator="between">
      <formula>$I$8</formula>
      <formula>$J$8</formula>
    </cfRule>
    <cfRule type="cellIs" dxfId="273" priority="291" stopIfTrue="1" operator="greaterThanOrEqual">
      <formula>$J$8</formula>
    </cfRule>
  </conditionalFormatting>
  <conditionalFormatting sqref="X552">
    <cfRule type="cellIs" dxfId="272" priority="304" stopIfTrue="1" operator="lessThanOrEqual">
      <formula>#REF!</formula>
    </cfRule>
    <cfRule type="cellIs" dxfId="271" priority="305" stopIfTrue="1" operator="between">
      <formula>#REF!</formula>
      <formula>#REF!</formula>
    </cfRule>
    <cfRule type="cellIs" dxfId="270" priority="306" stopIfTrue="1" operator="greaterThanOrEqual">
      <formula>#REF!</formula>
    </cfRule>
  </conditionalFormatting>
  <conditionalFormatting sqref="AB561">
    <cfRule type="cellIs" dxfId="269" priority="286" stopIfTrue="1" operator="lessThanOrEqual">
      <formula>#REF!</formula>
    </cfRule>
    <cfRule type="cellIs" dxfId="268" priority="287" stopIfTrue="1" operator="between">
      <formula>#REF!</formula>
      <formula>#REF!</formula>
    </cfRule>
    <cfRule type="cellIs" dxfId="267" priority="288" stopIfTrue="1" operator="greaterThanOrEqual">
      <formula>#REF!</formula>
    </cfRule>
  </conditionalFormatting>
  <conditionalFormatting sqref="W552">
    <cfRule type="cellIs" dxfId="266" priority="331" stopIfTrue="1" operator="lessThanOrEqual">
      <formula>$I$8</formula>
    </cfRule>
    <cfRule type="cellIs" dxfId="265" priority="332" stopIfTrue="1" operator="between">
      <formula>$I$8</formula>
      <formula>$J$8</formula>
    </cfRule>
    <cfRule type="cellIs" dxfId="264" priority="333" stopIfTrue="1" operator="greaterThanOrEqual">
      <formula>$J$8</formula>
    </cfRule>
  </conditionalFormatting>
  <conditionalFormatting sqref="W552 AA552">
    <cfRule type="cellIs" dxfId="263" priority="328" stopIfTrue="1" operator="lessThanOrEqual">
      <formula>#REF!</formula>
    </cfRule>
    <cfRule type="cellIs" dxfId="262" priority="329" stopIfTrue="1" operator="between">
      <formula>#REF!</formula>
      <formula>#REF!</formula>
    </cfRule>
    <cfRule type="cellIs" dxfId="261" priority="330" stopIfTrue="1" operator="greaterThanOrEqual">
      <formula>#REF!</formula>
    </cfRule>
  </conditionalFormatting>
  <conditionalFormatting sqref="AA567">
    <cfRule type="cellIs" dxfId="260" priority="322" stopIfTrue="1" operator="lessThanOrEqual">
      <formula>#REF!</formula>
    </cfRule>
    <cfRule type="cellIs" dxfId="259" priority="323" stopIfTrue="1" operator="between">
      <formula>#REF!</formula>
      <formula>#REF!</formula>
    </cfRule>
    <cfRule type="cellIs" dxfId="258" priority="324" stopIfTrue="1" operator="greaterThanOrEqual">
      <formula>#REF!</formula>
    </cfRule>
  </conditionalFormatting>
  <conditionalFormatting sqref="Y552">
    <cfRule type="cellIs" dxfId="257" priority="316" stopIfTrue="1" operator="lessThanOrEqual">
      <formula>#REF!</formula>
    </cfRule>
    <cfRule type="cellIs" dxfId="256" priority="317" stopIfTrue="1" operator="between">
      <formula>#REF!</formula>
      <formula>#REF!</formula>
    </cfRule>
    <cfRule type="cellIs" dxfId="255" priority="318" stopIfTrue="1" operator="greaterThanOrEqual">
      <formula>#REF!</formula>
    </cfRule>
  </conditionalFormatting>
  <conditionalFormatting sqref="AC552">
    <cfRule type="cellIs" dxfId="254" priority="310" stopIfTrue="1" operator="lessThanOrEqual">
      <formula>#REF!</formula>
    </cfRule>
    <cfRule type="cellIs" dxfId="253" priority="311" stopIfTrue="1" operator="between">
      <formula>#REF!</formula>
      <formula>#REF!</formula>
    </cfRule>
    <cfRule type="cellIs" dxfId="252" priority="312" stopIfTrue="1" operator="greaterThanOrEqual">
      <formula>#REF!</formula>
    </cfRule>
  </conditionalFormatting>
  <conditionalFormatting sqref="Z552">
    <cfRule type="cellIs" dxfId="251" priority="298" stopIfTrue="1" operator="lessThanOrEqual">
      <formula>#REF!</formula>
    </cfRule>
    <cfRule type="cellIs" dxfId="250" priority="299" stopIfTrue="1" operator="between">
      <formula>#REF!</formula>
      <formula>#REF!</formula>
    </cfRule>
    <cfRule type="cellIs" dxfId="249" priority="300" stopIfTrue="1" operator="greaterThanOrEqual">
      <formula>#REF!</formula>
    </cfRule>
  </conditionalFormatting>
  <conditionalFormatting sqref="AB552">
    <cfRule type="cellIs" dxfId="248" priority="292" stopIfTrue="1" operator="lessThanOrEqual">
      <formula>#REF!</formula>
    </cfRule>
    <cfRule type="cellIs" dxfId="247" priority="293" stopIfTrue="1" operator="between">
      <formula>#REF!</formula>
      <formula>#REF!</formula>
    </cfRule>
    <cfRule type="cellIs" dxfId="246" priority="294" stopIfTrue="1" operator="greaterThanOrEqual">
      <formula>#REF!</formula>
    </cfRule>
  </conditionalFormatting>
  <conditionalFormatting sqref="W555">
    <cfRule type="cellIs" dxfId="245" priority="280" stopIfTrue="1" operator="lessThanOrEqual">
      <formula>#REF!</formula>
    </cfRule>
    <cfRule type="cellIs" dxfId="244" priority="281" stopIfTrue="1" operator="between">
      <formula>#REF!</formula>
      <formula>#REF!</formula>
    </cfRule>
    <cfRule type="cellIs" dxfId="243" priority="282" stopIfTrue="1" operator="greaterThanOrEqual">
      <formula>#REF!</formula>
    </cfRule>
  </conditionalFormatting>
  <conditionalFormatting sqref="X555">
    <cfRule type="cellIs" dxfId="242" priority="277" stopIfTrue="1" operator="lessThanOrEqual">
      <formula>$I$8</formula>
    </cfRule>
    <cfRule type="cellIs" dxfId="241" priority="278" stopIfTrue="1" operator="between">
      <formula>$I$8</formula>
      <formula>$J$8</formula>
    </cfRule>
    <cfRule type="cellIs" dxfId="240" priority="279" stopIfTrue="1" operator="greaterThanOrEqual">
      <formula>$J$8</formula>
    </cfRule>
  </conditionalFormatting>
  <conditionalFormatting sqref="X555">
    <cfRule type="cellIs" dxfId="239" priority="274" stopIfTrue="1" operator="lessThanOrEqual">
      <formula>#REF!</formula>
    </cfRule>
    <cfRule type="cellIs" dxfId="238" priority="275" stopIfTrue="1" operator="between">
      <formula>#REF!</formula>
      <formula>#REF!</formula>
    </cfRule>
    <cfRule type="cellIs" dxfId="237" priority="276" stopIfTrue="1" operator="greaterThanOrEqual">
      <formula>#REF!</formula>
    </cfRule>
  </conditionalFormatting>
  <conditionalFormatting sqref="Y555">
    <cfRule type="cellIs" dxfId="236" priority="271" stopIfTrue="1" operator="lessThanOrEqual">
      <formula>$I$8</formula>
    </cfRule>
    <cfRule type="cellIs" dxfId="235" priority="272" stopIfTrue="1" operator="between">
      <formula>$I$8</formula>
      <formula>$J$8</formula>
    </cfRule>
    <cfRule type="cellIs" dxfId="234" priority="273" stopIfTrue="1" operator="greaterThanOrEqual">
      <formula>$J$8</formula>
    </cfRule>
  </conditionalFormatting>
  <conditionalFormatting sqref="Y555">
    <cfRule type="cellIs" dxfId="233" priority="268" stopIfTrue="1" operator="lessThanOrEqual">
      <formula>#REF!</formula>
    </cfRule>
    <cfRule type="cellIs" dxfId="232" priority="269" stopIfTrue="1" operator="between">
      <formula>#REF!</formula>
      <formula>#REF!</formula>
    </cfRule>
    <cfRule type="cellIs" dxfId="231" priority="270" stopIfTrue="1" operator="greaterThanOrEqual">
      <formula>#REF!</formula>
    </cfRule>
  </conditionalFormatting>
  <conditionalFormatting sqref="AA555">
    <cfRule type="cellIs" dxfId="230" priority="265" stopIfTrue="1" operator="lessThanOrEqual">
      <formula>$I$8</formula>
    </cfRule>
    <cfRule type="cellIs" dxfId="229" priority="266" stopIfTrue="1" operator="between">
      <formula>$I$8</formula>
      <formula>$J$8</formula>
    </cfRule>
    <cfRule type="cellIs" dxfId="228" priority="267" stopIfTrue="1" operator="greaterThanOrEqual">
      <formula>$J$8</formula>
    </cfRule>
  </conditionalFormatting>
  <conditionalFormatting sqref="AA555">
    <cfRule type="cellIs" dxfId="227" priority="262" stopIfTrue="1" operator="lessThanOrEqual">
      <formula>#REF!</formula>
    </cfRule>
    <cfRule type="cellIs" dxfId="226" priority="263" stopIfTrue="1" operator="between">
      <formula>#REF!</formula>
      <formula>#REF!</formula>
    </cfRule>
    <cfRule type="cellIs" dxfId="225" priority="264" stopIfTrue="1" operator="greaterThanOrEqual">
      <formula>#REF!</formula>
    </cfRule>
  </conditionalFormatting>
  <conditionalFormatting sqref="AB555">
    <cfRule type="cellIs" dxfId="224" priority="256" stopIfTrue="1" operator="lessThanOrEqual">
      <formula>#REF!</formula>
    </cfRule>
    <cfRule type="cellIs" dxfId="223" priority="257" stopIfTrue="1" operator="between">
      <formula>#REF!</formula>
      <formula>#REF!</formula>
    </cfRule>
    <cfRule type="cellIs" dxfId="222" priority="258" stopIfTrue="1" operator="greaterThanOrEqual">
      <formula>#REF!</formula>
    </cfRule>
  </conditionalFormatting>
  <conditionalFormatting sqref="AC555">
    <cfRule type="cellIs" dxfId="221" priority="250" stopIfTrue="1" operator="lessThanOrEqual">
      <formula>#REF!</formula>
    </cfRule>
    <cfRule type="cellIs" dxfId="220" priority="251" stopIfTrue="1" operator="between">
      <formula>#REF!</formula>
      <formula>#REF!</formula>
    </cfRule>
    <cfRule type="cellIs" dxfId="219" priority="252" stopIfTrue="1" operator="greaterThanOrEqual">
      <formula>#REF!</formula>
    </cfRule>
  </conditionalFormatting>
  <conditionalFormatting sqref="W567">
    <cfRule type="cellIs" dxfId="218" priority="241" stopIfTrue="1" operator="lessThanOrEqual">
      <formula>$I$8</formula>
    </cfRule>
    <cfRule type="cellIs" dxfId="217" priority="242" stopIfTrue="1" operator="between">
      <formula>$I$8</formula>
      <formula>$J$8</formula>
    </cfRule>
    <cfRule type="cellIs" dxfId="216" priority="243" stopIfTrue="1" operator="greaterThanOrEqual">
      <formula>$J$8</formula>
    </cfRule>
  </conditionalFormatting>
  <conditionalFormatting sqref="W567">
    <cfRule type="cellIs" dxfId="215" priority="238" stopIfTrue="1" operator="lessThanOrEqual">
      <formula>#REF!</formula>
    </cfRule>
    <cfRule type="cellIs" dxfId="214" priority="239" stopIfTrue="1" operator="between">
      <formula>#REF!</formula>
      <formula>#REF!</formula>
    </cfRule>
    <cfRule type="cellIs" dxfId="213" priority="240" stopIfTrue="1" operator="greaterThanOrEqual">
      <formula>#REF!</formula>
    </cfRule>
  </conditionalFormatting>
  <conditionalFormatting sqref="X561">
    <cfRule type="cellIs" dxfId="212" priority="247" stopIfTrue="1" operator="lessThanOrEqual">
      <formula>$I$8</formula>
    </cfRule>
    <cfRule type="cellIs" dxfId="211" priority="248" stopIfTrue="1" operator="between">
      <formula>$I$8</formula>
      <formula>$J$8</formula>
    </cfRule>
    <cfRule type="cellIs" dxfId="210" priority="249" stopIfTrue="1" operator="greaterThanOrEqual">
      <formula>$J$8</formula>
    </cfRule>
  </conditionalFormatting>
  <conditionalFormatting sqref="X561">
    <cfRule type="cellIs" dxfId="209" priority="244" stopIfTrue="1" operator="lessThanOrEqual">
      <formula>#REF!</formula>
    </cfRule>
    <cfRule type="cellIs" dxfId="208" priority="245" stopIfTrue="1" operator="between">
      <formula>#REF!</formula>
      <formula>#REF!</formula>
    </cfRule>
    <cfRule type="cellIs" dxfId="207" priority="246" stopIfTrue="1" operator="greaterThanOrEqual">
      <formula>#REF!</formula>
    </cfRule>
  </conditionalFormatting>
  <conditionalFormatting sqref="W558">
    <cfRule type="cellIs" dxfId="206" priority="235" stopIfTrue="1" operator="lessThanOrEqual">
      <formula>$I$8</formula>
    </cfRule>
    <cfRule type="cellIs" dxfId="205" priority="236" stopIfTrue="1" operator="between">
      <formula>$I$8</formula>
      <formula>$J$8</formula>
    </cfRule>
    <cfRule type="cellIs" dxfId="204" priority="237" stopIfTrue="1" operator="greaterThanOrEqual">
      <formula>$J$8</formula>
    </cfRule>
  </conditionalFormatting>
  <conditionalFormatting sqref="W558 AA558">
    <cfRule type="cellIs" dxfId="203" priority="232" stopIfTrue="1" operator="lessThanOrEqual">
      <formula>#REF!</formula>
    </cfRule>
    <cfRule type="cellIs" dxfId="202" priority="233" stopIfTrue="1" operator="between">
      <formula>#REF!</formula>
      <formula>#REF!</formula>
    </cfRule>
    <cfRule type="cellIs" dxfId="201" priority="234" stopIfTrue="1" operator="greaterThanOrEqual">
      <formula>#REF!</formula>
    </cfRule>
  </conditionalFormatting>
  <conditionalFormatting sqref="Y558">
    <cfRule type="cellIs" dxfId="200" priority="229" stopIfTrue="1" operator="lessThanOrEqual">
      <formula>$I$8</formula>
    </cfRule>
    <cfRule type="cellIs" dxfId="199" priority="230" stopIfTrue="1" operator="between">
      <formula>$I$8</formula>
      <formula>$J$8</formula>
    </cfRule>
    <cfRule type="cellIs" dxfId="198" priority="231" stopIfTrue="1" operator="greaterThanOrEqual">
      <formula>$J$8</formula>
    </cfRule>
  </conditionalFormatting>
  <conditionalFormatting sqref="Y558">
    <cfRule type="cellIs" dxfId="197" priority="226" stopIfTrue="1" operator="lessThanOrEqual">
      <formula>#REF!</formula>
    </cfRule>
    <cfRule type="cellIs" dxfId="196" priority="227" stopIfTrue="1" operator="between">
      <formula>#REF!</formula>
      <formula>#REF!</formula>
    </cfRule>
    <cfRule type="cellIs" dxfId="195" priority="228" stopIfTrue="1" operator="greaterThanOrEqual">
      <formula>#REF!</formula>
    </cfRule>
  </conditionalFormatting>
  <conditionalFormatting sqref="AB558">
    <cfRule type="cellIs" dxfId="194" priority="208" stopIfTrue="1" operator="lessThanOrEqual">
      <formula>#REF!</formula>
    </cfRule>
    <cfRule type="cellIs" dxfId="193" priority="209" stopIfTrue="1" operator="between">
      <formula>#REF!</formula>
      <formula>#REF!</formula>
    </cfRule>
    <cfRule type="cellIs" dxfId="192" priority="210" stopIfTrue="1" operator="greaterThanOrEqual">
      <formula>#REF!</formula>
    </cfRule>
  </conditionalFormatting>
  <conditionalFormatting sqref="AC558">
    <cfRule type="cellIs" dxfId="191" priority="223" stopIfTrue="1" operator="lessThanOrEqual">
      <formula>$I$8</formula>
    </cfRule>
    <cfRule type="cellIs" dxfId="190" priority="224" stopIfTrue="1" operator="between">
      <formula>$I$8</formula>
      <formula>$J$8</formula>
    </cfRule>
    <cfRule type="cellIs" dxfId="189" priority="225" stopIfTrue="1" operator="greaterThanOrEqual">
      <formula>$J$8</formula>
    </cfRule>
  </conditionalFormatting>
  <conditionalFormatting sqref="AC558">
    <cfRule type="cellIs" dxfId="188" priority="220" stopIfTrue="1" operator="lessThanOrEqual">
      <formula>#REF!</formula>
    </cfRule>
    <cfRule type="cellIs" dxfId="187" priority="221" stopIfTrue="1" operator="between">
      <formula>#REF!</formula>
      <formula>#REF!</formula>
    </cfRule>
    <cfRule type="cellIs" dxfId="186" priority="222" stopIfTrue="1" operator="greaterThanOrEqual">
      <formula>#REF!</formula>
    </cfRule>
  </conditionalFormatting>
  <conditionalFormatting sqref="X558">
    <cfRule type="cellIs" dxfId="185" priority="214" stopIfTrue="1" operator="lessThanOrEqual">
      <formula>#REF!</formula>
    </cfRule>
    <cfRule type="cellIs" dxfId="184" priority="215" stopIfTrue="1" operator="between">
      <formula>#REF!</formula>
      <formula>#REF!</formula>
    </cfRule>
    <cfRule type="cellIs" dxfId="183" priority="216" stopIfTrue="1" operator="greaterThanOrEqual">
      <formula>#REF!</formula>
    </cfRule>
  </conditionalFormatting>
  <conditionalFormatting sqref="X564">
    <cfRule type="cellIs" dxfId="182" priority="196" stopIfTrue="1" operator="lessThanOrEqual">
      <formula>#REF!</formula>
    </cfRule>
    <cfRule type="cellIs" dxfId="181" priority="197" stopIfTrue="1" operator="between">
      <formula>#REF!</formula>
      <formula>#REF!</formula>
    </cfRule>
    <cfRule type="cellIs" dxfId="180" priority="198" stopIfTrue="1" operator="greaterThanOrEqual">
      <formula>#REF!</formula>
    </cfRule>
  </conditionalFormatting>
  <conditionalFormatting sqref="AB564">
    <cfRule type="cellIs" dxfId="179" priority="202" stopIfTrue="1" operator="lessThanOrEqual">
      <formula>#REF!</formula>
    </cfRule>
    <cfRule type="cellIs" dxfId="178" priority="203" stopIfTrue="1" operator="between">
      <formula>#REF!</formula>
      <formula>#REF!</formula>
    </cfRule>
    <cfRule type="cellIs" dxfId="177" priority="204" stopIfTrue="1" operator="greaterThanOrEqual">
      <formula>#REF!</formula>
    </cfRule>
  </conditionalFormatting>
  <conditionalFormatting sqref="W570 Y570">
    <cfRule type="cellIs" dxfId="176" priority="190" stopIfTrue="1" operator="lessThanOrEqual">
      <formula>#REF!</formula>
    </cfRule>
    <cfRule type="cellIs" dxfId="175" priority="191" stopIfTrue="1" operator="between">
      <formula>#REF!</formula>
      <formula>#REF!</formula>
    </cfRule>
    <cfRule type="cellIs" dxfId="174" priority="192" stopIfTrue="1" operator="greaterThanOrEqual">
      <formula>#REF!</formula>
    </cfRule>
  </conditionalFormatting>
  <conditionalFormatting sqref="AA570 AC570">
    <cfRule type="cellIs" dxfId="173" priority="184" stopIfTrue="1" operator="lessThanOrEqual">
      <formula>#REF!</formula>
    </cfRule>
    <cfRule type="cellIs" dxfId="172" priority="185" stopIfTrue="1" operator="between">
      <formula>#REF!</formula>
      <formula>#REF!</formula>
    </cfRule>
    <cfRule type="cellIs" dxfId="171" priority="186" stopIfTrue="1" operator="greaterThanOrEqual">
      <formula>#REF!</formula>
    </cfRule>
  </conditionalFormatting>
  <conditionalFormatting sqref="AA576 AA579">
    <cfRule type="cellIs" dxfId="170" priority="181" stopIfTrue="1" operator="lessThanOrEqual">
      <formula>$I$8</formula>
    </cfRule>
    <cfRule type="cellIs" dxfId="169" priority="182" stopIfTrue="1" operator="between">
      <formula>$I$8</formula>
      <formula>$J$8</formula>
    </cfRule>
    <cfRule type="cellIs" dxfId="168" priority="183" stopIfTrue="1" operator="greaterThanOrEqual">
      <formula>$J$8</formula>
    </cfRule>
  </conditionalFormatting>
  <conditionalFormatting sqref="Y576 Y579">
    <cfRule type="cellIs" dxfId="167" priority="175" stopIfTrue="1" operator="lessThanOrEqual">
      <formula>$I$8</formula>
    </cfRule>
    <cfRule type="cellIs" dxfId="166" priority="176" stopIfTrue="1" operator="between">
      <formula>$I$8</formula>
      <formula>$J$8</formula>
    </cfRule>
    <cfRule type="cellIs" dxfId="165" priority="177" stopIfTrue="1" operator="greaterThanOrEqual">
      <formula>$J$8</formula>
    </cfRule>
  </conditionalFormatting>
  <conditionalFormatting sqref="AC576 AC579">
    <cfRule type="cellIs" dxfId="164" priority="169" stopIfTrue="1" operator="lessThanOrEqual">
      <formula>$I$8</formula>
    </cfRule>
    <cfRule type="cellIs" dxfId="163" priority="170" stopIfTrue="1" operator="between">
      <formula>$I$8</formula>
      <formula>$J$8</formula>
    </cfRule>
    <cfRule type="cellIs" dxfId="162" priority="171" stopIfTrue="1" operator="greaterThanOrEqual">
      <formula>$J$8</formula>
    </cfRule>
  </conditionalFormatting>
  <conditionalFormatting sqref="Z576 Z579">
    <cfRule type="cellIs" dxfId="161" priority="163" stopIfTrue="1" operator="lessThanOrEqual">
      <formula>$I$8</formula>
    </cfRule>
    <cfRule type="cellIs" dxfId="160" priority="164" stopIfTrue="1" operator="between">
      <formula>$I$8</formula>
      <formula>$J$8</formula>
    </cfRule>
    <cfRule type="cellIs" dxfId="159" priority="165" stopIfTrue="1" operator="greaterThanOrEqual">
      <formula>$J$8</formula>
    </cfRule>
  </conditionalFormatting>
  <conditionalFormatting sqref="AB576 AB579">
    <cfRule type="cellIs" dxfId="158" priority="157" stopIfTrue="1" operator="lessThanOrEqual">
      <formula>$I$8</formula>
    </cfRule>
    <cfRule type="cellIs" dxfId="157" priority="158" stopIfTrue="1" operator="between">
      <formula>$I$8</formula>
      <formula>$J$8</formula>
    </cfRule>
    <cfRule type="cellIs" dxfId="156" priority="159" stopIfTrue="1" operator="greaterThanOrEqual">
      <formula>$J$8</formula>
    </cfRule>
  </conditionalFormatting>
  <conditionalFormatting sqref="AA576 AA579">
    <cfRule type="cellIs" dxfId="155" priority="178" stopIfTrue="1" operator="lessThanOrEqual">
      <formula>#REF!</formula>
    </cfRule>
    <cfRule type="cellIs" dxfId="154" priority="179" stopIfTrue="1" operator="between">
      <formula>#REF!</formula>
      <formula>#REF!</formula>
    </cfRule>
    <cfRule type="cellIs" dxfId="153" priority="180" stopIfTrue="1" operator="greaterThanOrEqual">
      <formula>#REF!</formula>
    </cfRule>
  </conditionalFormatting>
  <conditionalFormatting sqref="Y576 Y579">
    <cfRule type="cellIs" dxfId="152" priority="172" stopIfTrue="1" operator="lessThanOrEqual">
      <formula>#REF!</formula>
    </cfRule>
    <cfRule type="cellIs" dxfId="151" priority="173" stopIfTrue="1" operator="between">
      <formula>#REF!</formula>
      <formula>#REF!</formula>
    </cfRule>
    <cfRule type="cellIs" dxfId="150" priority="174" stopIfTrue="1" operator="greaterThanOrEqual">
      <formula>#REF!</formula>
    </cfRule>
  </conditionalFormatting>
  <conditionalFormatting sqref="AC576 AC579">
    <cfRule type="cellIs" dxfId="149" priority="166" stopIfTrue="1" operator="lessThanOrEqual">
      <formula>#REF!</formula>
    </cfRule>
    <cfRule type="cellIs" dxfId="148" priority="167" stopIfTrue="1" operator="between">
      <formula>#REF!</formula>
      <formula>#REF!</formula>
    </cfRule>
    <cfRule type="cellIs" dxfId="147" priority="168" stopIfTrue="1" operator="greaterThanOrEqual">
      <formula>#REF!</formula>
    </cfRule>
  </conditionalFormatting>
  <conditionalFormatting sqref="Z576 Z579">
    <cfRule type="cellIs" dxfId="146" priority="160" stopIfTrue="1" operator="lessThanOrEqual">
      <formula>#REF!</formula>
    </cfRule>
    <cfRule type="cellIs" dxfId="145" priority="161" stopIfTrue="1" operator="between">
      <formula>#REF!</formula>
      <formula>#REF!</formula>
    </cfRule>
    <cfRule type="cellIs" dxfId="144" priority="162" stopIfTrue="1" operator="greaterThanOrEqual">
      <formula>#REF!</formula>
    </cfRule>
  </conditionalFormatting>
  <conditionalFormatting sqref="AB576 AB579">
    <cfRule type="cellIs" dxfId="143" priority="154" stopIfTrue="1" operator="lessThanOrEqual">
      <formula>#REF!</formula>
    </cfRule>
    <cfRule type="cellIs" dxfId="142" priority="155" stopIfTrue="1" operator="between">
      <formula>#REF!</formula>
      <formula>#REF!</formula>
    </cfRule>
    <cfRule type="cellIs" dxfId="141" priority="156" stopIfTrue="1" operator="greaterThanOrEqual">
      <formula>#REF!</formula>
    </cfRule>
  </conditionalFormatting>
  <conditionalFormatting sqref="V588 V591">
    <cfRule type="cellIs" dxfId="140" priority="151" stopIfTrue="1" operator="lessThanOrEqual">
      <formula>$I$8</formula>
    </cfRule>
    <cfRule type="cellIs" dxfId="139" priority="152" stopIfTrue="1" operator="between">
      <formula>$I$8</formula>
      <formula>$J$8</formula>
    </cfRule>
    <cfRule type="cellIs" dxfId="138" priority="153" stopIfTrue="1" operator="greaterThanOrEqual">
      <formula>$J$8</formula>
    </cfRule>
  </conditionalFormatting>
  <conditionalFormatting sqref="V588 V591">
    <cfRule type="cellIs" dxfId="137" priority="148" stopIfTrue="1" operator="lessThanOrEqual">
      <formula>#REF!</formula>
    </cfRule>
    <cfRule type="cellIs" dxfId="136" priority="149" stopIfTrue="1" operator="between">
      <formula>#REF!</formula>
      <formula>#REF!</formula>
    </cfRule>
    <cfRule type="cellIs" dxfId="135" priority="150" stopIfTrue="1" operator="greaterThanOrEqual">
      <formula>#REF!</formula>
    </cfRule>
  </conditionalFormatting>
  <conditionalFormatting sqref="AA588 AA591">
    <cfRule type="cellIs" dxfId="134" priority="145" stopIfTrue="1" operator="lessThanOrEqual">
      <formula>$I$8</formula>
    </cfRule>
    <cfRule type="cellIs" dxfId="133" priority="146" stopIfTrue="1" operator="between">
      <formula>$I$8</formula>
      <formula>$J$8</formula>
    </cfRule>
    <cfRule type="cellIs" dxfId="132" priority="147" stopIfTrue="1" operator="greaterThanOrEqual">
      <formula>$J$8</formula>
    </cfRule>
  </conditionalFormatting>
  <conditionalFormatting sqref="W588 W591">
    <cfRule type="cellIs" dxfId="131" priority="142" stopIfTrue="1" operator="lessThanOrEqual">
      <formula>$I$8</formula>
    </cfRule>
    <cfRule type="cellIs" dxfId="130" priority="143" stopIfTrue="1" operator="between">
      <formula>$I$8</formula>
      <formula>$J$8</formula>
    </cfRule>
    <cfRule type="cellIs" dxfId="129" priority="144" stopIfTrue="1" operator="greaterThanOrEqual">
      <formula>$J$8</formula>
    </cfRule>
  </conditionalFormatting>
  <conditionalFormatting sqref="Y588 Y591">
    <cfRule type="cellIs" dxfId="128" priority="136" stopIfTrue="1" operator="lessThanOrEqual">
      <formula>$I$8</formula>
    </cfRule>
    <cfRule type="cellIs" dxfId="127" priority="137" stopIfTrue="1" operator="between">
      <formula>$I$8</formula>
      <formula>$J$8</formula>
    </cfRule>
    <cfRule type="cellIs" dxfId="126" priority="138" stopIfTrue="1" operator="greaterThanOrEqual">
      <formula>$J$8</formula>
    </cfRule>
  </conditionalFormatting>
  <conditionalFormatting sqref="AC588 AC591">
    <cfRule type="cellIs" dxfId="125" priority="130" stopIfTrue="1" operator="lessThanOrEqual">
      <formula>$I$8</formula>
    </cfRule>
    <cfRule type="cellIs" dxfId="124" priority="131" stopIfTrue="1" operator="between">
      <formula>$I$8</formula>
      <formula>$J$8</formula>
    </cfRule>
    <cfRule type="cellIs" dxfId="123" priority="132" stopIfTrue="1" operator="greaterThanOrEqual">
      <formula>$J$8</formula>
    </cfRule>
  </conditionalFormatting>
  <conditionalFormatting sqref="X588 X591">
    <cfRule type="cellIs" dxfId="122" priority="124" stopIfTrue="1" operator="lessThanOrEqual">
      <formula>$I$8</formula>
    </cfRule>
    <cfRule type="cellIs" dxfId="121" priority="125" stopIfTrue="1" operator="between">
      <formula>$I$8</formula>
      <formula>$J$8</formula>
    </cfRule>
    <cfRule type="cellIs" dxfId="120" priority="126" stopIfTrue="1" operator="greaterThanOrEqual">
      <formula>$J$8</formula>
    </cfRule>
  </conditionalFormatting>
  <conditionalFormatting sqref="X588 X591">
    <cfRule type="cellIs" dxfId="119" priority="121" stopIfTrue="1" operator="lessThanOrEqual">
      <formula>#REF!</formula>
    </cfRule>
    <cfRule type="cellIs" dxfId="118" priority="122" stopIfTrue="1" operator="between">
      <formula>#REF!</formula>
      <formula>#REF!</formula>
    </cfRule>
    <cfRule type="cellIs" dxfId="117" priority="123" stopIfTrue="1" operator="greaterThanOrEqual">
      <formula>#REF!</formula>
    </cfRule>
  </conditionalFormatting>
  <conditionalFormatting sqref="Z588 Z591">
    <cfRule type="cellIs" dxfId="116" priority="118" stopIfTrue="1" operator="lessThanOrEqual">
      <formula>$I$8</formula>
    </cfRule>
    <cfRule type="cellIs" dxfId="115" priority="119" stopIfTrue="1" operator="between">
      <formula>$I$8</formula>
      <formula>$J$8</formula>
    </cfRule>
    <cfRule type="cellIs" dxfId="114" priority="120" stopIfTrue="1" operator="greaterThanOrEqual">
      <formula>$J$8</formula>
    </cfRule>
  </conditionalFormatting>
  <conditionalFormatting sqref="AB588 AB591">
    <cfRule type="cellIs" dxfId="113" priority="112" stopIfTrue="1" operator="lessThanOrEqual">
      <formula>$I$8</formula>
    </cfRule>
    <cfRule type="cellIs" dxfId="112" priority="113" stopIfTrue="1" operator="between">
      <formula>$I$8</formula>
      <formula>$J$8</formula>
    </cfRule>
    <cfRule type="cellIs" dxfId="111" priority="114" stopIfTrue="1" operator="greaterThanOrEqual">
      <formula>$J$8</formula>
    </cfRule>
  </conditionalFormatting>
  <conditionalFormatting sqref="W588 AA588 AA591 W591">
    <cfRule type="cellIs" dxfId="110" priority="139" stopIfTrue="1" operator="lessThanOrEqual">
      <formula>#REF!</formula>
    </cfRule>
    <cfRule type="cellIs" dxfId="109" priority="140" stopIfTrue="1" operator="between">
      <formula>#REF!</formula>
      <formula>#REF!</formula>
    </cfRule>
    <cfRule type="cellIs" dxfId="108" priority="141" stopIfTrue="1" operator="greaterThanOrEqual">
      <formula>#REF!</formula>
    </cfRule>
  </conditionalFormatting>
  <conditionalFormatting sqref="Y588 Y591">
    <cfRule type="cellIs" dxfId="107" priority="133" stopIfTrue="1" operator="lessThanOrEqual">
      <formula>#REF!</formula>
    </cfRule>
    <cfRule type="cellIs" dxfId="106" priority="134" stopIfTrue="1" operator="between">
      <formula>#REF!</formula>
      <formula>#REF!</formula>
    </cfRule>
    <cfRule type="cellIs" dxfId="105" priority="135" stopIfTrue="1" operator="greaterThanOrEqual">
      <formula>#REF!</formula>
    </cfRule>
  </conditionalFormatting>
  <conditionalFormatting sqref="AC588 AC591">
    <cfRule type="cellIs" dxfId="104" priority="127" stopIfTrue="1" operator="lessThanOrEqual">
      <formula>#REF!</formula>
    </cfRule>
    <cfRule type="cellIs" dxfId="103" priority="128" stopIfTrue="1" operator="between">
      <formula>#REF!</formula>
      <formula>#REF!</formula>
    </cfRule>
    <cfRule type="cellIs" dxfId="102" priority="129" stopIfTrue="1" operator="greaterThanOrEqual">
      <formula>#REF!</formula>
    </cfRule>
  </conditionalFormatting>
  <conditionalFormatting sqref="Z588 Z591">
    <cfRule type="cellIs" dxfId="101" priority="115" stopIfTrue="1" operator="lessThanOrEqual">
      <formula>#REF!</formula>
    </cfRule>
    <cfRule type="cellIs" dxfId="100" priority="116" stopIfTrue="1" operator="between">
      <formula>#REF!</formula>
      <formula>#REF!</formula>
    </cfRule>
    <cfRule type="cellIs" dxfId="99" priority="117" stopIfTrue="1" operator="greaterThanOrEqual">
      <formula>#REF!</formula>
    </cfRule>
  </conditionalFormatting>
  <conditionalFormatting sqref="AB588 AB591">
    <cfRule type="cellIs" dxfId="98" priority="109" stopIfTrue="1" operator="lessThanOrEqual">
      <formula>#REF!</formula>
    </cfRule>
    <cfRule type="cellIs" dxfId="97" priority="110" stopIfTrue="1" operator="between">
      <formula>#REF!</formula>
      <formula>#REF!</formula>
    </cfRule>
    <cfRule type="cellIs" dxfId="96" priority="111" stopIfTrue="1" operator="greaterThanOrEqual">
      <formula>#REF!</formula>
    </cfRule>
  </conditionalFormatting>
  <conditionalFormatting sqref="AA600">
    <cfRule type="cellIs" dxfId="95" priority="106" stopIfTrue="1" operator="lessThanOrEqual">
      <formula>$I$8</formula>
    </cfRule>
    <cfRule type="cellIs" dxfId="94" priority="107" stopIfTrue="1" operator="between">
      <formula>$I$8</formula>
      <formula>$J$8</formula>
    </cfRule>
    <cfRule type="cellIs" dxfId="93" priority="108" stopIfTrue="1" operator="greaterThanOrEqual">
      <formula>$J$8</formula>
    </cfRule>
  </conditionalFormatting>
  <conditionalFormatting sqref="Y600 Y603 Y606">
    <cfRule type="cellIs" dxfId="92" priority="100" stopIfTrue="1" operator="lessThanOrEqual">
      <formula>$I$8</formula>
    </cfRule>
    <cfRule type="cellIs" dxfId="91" priority="101" stopIfTrue="1" operator="between">
      <formula>$I$8</formula>
      <formula>$J$8</formula>
    </cfRule>
    <cfRule type="cellIs" dxfId="90" priority="102" stopIfTrue="1" operator="greaterThanOrEqual">
      <formula>$J$8</formula>
    </cfRule>
  </conditionalFormatting>
  <conditionalFormatting sqref="AC600 AC603 AC606">
    <cfRule type="cellIs" dxfId="89" priority="94" stopIfTrue="1" operator="lessThanOrEqual">
      <formula>$I$8</formula>
    </cfRule>
    <cfRule type="cellIs" dxfId="88" priority="95" stopIfTrue="1" operator="between">
      <formula>$I$8</formula>
      <formula>$J$8</formula>
    </cfRule>
    <cfRule type="cellIs" dxfId="87" priority="96" stopIfTrue="1" operator="greaterThanOrEqual">
      <formula>$J$8</formula>
    </cfRule>
  </conditionalFormatting>
  <conditionalFormatting sqref="Z600">
    <cfRule type="cellIs" dxfId="86" priority="88" stopIfTrue="1" operator="lessThanOrEqual">
      <formula>$I$8</formula>
    </cfRule>
    <cfRule type="cellIs" dxfId="85" priority="89" stopIfTrue="1" operator="between">
      <formula>$I$8</formula>
      <formula>$J$8</formula>
    </cfRule>
    <cfRule type="cellIs" dxfId="84" priority="90" stopIfTrue="1" operator="greaterThanOrEqual">
      <formula>$J$8</formula>
    </cfRule>
  </conditionalFormatting>
  <conditionalFormatting sqref="AB600">
    <cfRule type="cellIs" dxfId="83" priority="82" stopIfTrue="1" operator="lessThanOrEqual">
      <formula>$I$8</formula>
    </cfRule>
    <cfRule type="cellIs" dxfId="82" priority="83" stopIfTrue="1" operator="between">
      <formula>$I$8</formula>
      <formula>$J$8</formula>
    </cfRule>
    <cfRule type="cellIs" dxfId="81" priority="84" stopIfTrue="1" operator="greaterThanOrEqual">
      <formula>$J$8</formula>
    </cfRule>
  </conditionalFormatting>
  <conditionalFormatting sqref="AA600">
    <cfRule type="cellIs" dxfId="80" priority="103" stopIfTrue="1" operator="lessThanOrEqual">
      <formula>#REF!</formula>
    </cfRule>
    <cfRule type="cellIs" dxfId="79" priority="104" stopIfTrue="1" operator="between">
      <formula>#REF!</formula>
      <formula>#REF!</formula>
    </cfRule>
    <cfRule type="cellIs" dxfId="78" priority="105" stopIfTrue="1" operator="greaterThanOrEqual">
      <formula>#REF!</formula>
    </cfRule>
  </conditionalFormatting>
  <conditionalFormatting sqref="AB506">
    <cfRule type="cellIs" dxfId="77" priority="70" stopIfTrue="1" operator="lessThanOrEqual">
      <formula>$H$8</formula>
    </cfRule>
    <cfRule type="cellIs" dxfId="76" priority="71" stopIfTrue="1" operator="between">
      <formula>$H$8</formula>
      <formula>$I$8</formula>
    </cfRule>
    <cfRule type="cellIs" dxfId="75" priority="72" stopIfTrue="1" operator="greaterThanOrEqual">
      <formula>$I$8</formula>
    </cfRule>
  </conditionalFormatting>
  <conditionalFormatting sqref="AB506">
    <cfRule type="cellIs" dxfId="74" priority="67" stopIfTrue="1" operator="lessThanOrEqual">
      <formula>#REF!</formula>
    </cfRule>
    <cfRule type="cellIs" dxfId="73" priority="68" stopIfTrue="1" operator="between">
      <formula>#REF!</formula>
      <formula>#REF!</formula>
    </cfRule>
    <cfRule type="cellIs" dxfId="72" priority="69" stopIfTrue="1" operator="greaterThanOrEqual">
      <formula>#REF!</formula>
    </cfRule>
  </conditionalFormatting>
  <conditionalFormatting sqref="AB503">
    <cfRule type="cellIs" dxfId="71" priority="76" stopIfTrue="1" operator="lessThanOrEqual">
      <formula>$H$8</formula>
    </cfRule>
    <cfRule type="cellIs" dxfId="70" priority="77" stopIfTrue="1" operator="between">
      <formula>$H$8</formula>
      <formula>$I$8</formula>
    </cfRule>
    <cfRule type="cellIs" dxfId="69" priority="78" stopIfTrue="1" operator="greaterThanOrEqual">
      <formula>$I$8</formula>
    </cfRule>
  </conditionalFormatting>
  <conditionalFormatting sqref="AB503">
    <cfRule type="cellIs" dxfId="68" priority="73" stopIfTrue="1" operator="lessThanOrEqual">
      <formula>#REF!</formula>
    </cfRule>
    <cfRule type="cellIs" dxfId="67" priority="74" stopIfTrue="1" operator="between">
      <formula>#REF!</formula>
      <formula>#REF!</formula>
    </cfRule>
    <cfRule type="cellIs" dxfId="66" priority="75" stopIfTrue="1" operator="greaterThanOrEqual">
      <formula>#REF!</formula>
    </cfRule>
  </conditionalFormatting>
  <conditionalFormatting sqref="X503">
    <cfRule type="cellIs" dxfId="65" priority="64" stopIfTrue="1" operator="lessThanOrEqual">
      <formula>$I$8</formula>
    </cfRule>
    <cfRule type="cellIs" dxfId="64" priority="65" stopIfTrue="1" operator="between">
      <formula>$I$8</formula>
      <formula>$J$8</formula>
    </cfRule>
    <cfRule type="cellIs" dxfId="63" priority="66" stopIfTrue="1" operator="greaterThanOrEqual">
      <formula>$J$8</formula>
    </cfRule>
  </conditionalFormatting>
  <conditionalFormatting sqref="X503">
    <cfRule type="cellIs" dxfId="62" priority="61" stopIfTrue="1" operator="lessThanOrEqual">
      <formula>#REF!</formula>
    </cfRule>
    <cfRule type="cellIs" dxfId="61" priority="62" stopIfTrue="1" operator="between">
      <formula>#REF!</formula>
      <formula>#REF!</formula>
    </cfRule>
    <cfRule type="cellIs" dxfId="60" priority="63" stopIfTrue="1" operator="greaterThanOrEqual">
      <formula>#REF!</formula>
    </cfRule>
  </conditionalFormatting>
  <conditionalFormatting sqref="X506">
    <cfRule type="cellIs" dxfId="59" priority="58" stopIfTrue="1" operator="lessThanOrEqual">
      <formula>$I$8</formula>
    </cfRule>
    <cfRule type="cellIs" dxfId="58" priority="59" stopIfTrue="1" operator="between">
      <formula>$I$8</formula>
      <formula>$J$8</formula>
    </cfRule>
    <cfRule type="cellIs" dxfId="57" priority="60" stopIfTrue="1" operator="greaterThanOrEqual">
      <formula>$J$8</formula>
    </cfRule>
  </conditionalFormatting>
  <conditionalFormatting sqref="X506">
    <cfRule type="cellIs" dxfId="56" priority="55" stopIfTrue="1" operator="lessThanOrEqual">
      <formula>#REF!</formula>
    </cfRule>
    <cfRule type="cellIs" dxfId="55" priority="56" stopIfTrue="1" operator="between">
      <formula>#REF!</formula>
      <formula>#REF!</formula>
    </cfRule>
    <cfRule type="cellIs" dxfId="54" priority="57" stopIfTrue="1" operator="greaterThanOrEqual">
      <formula>#REF!</formula>
    </cfRule>
  </conditionalFormatting>
  <conditionalFormatting sqref="Y509">
    <cfRule type="cellIs" dxfId="53" priority="52" stopIfTrue="1" operator="lessThanOrEqual">
      <formula>$I$8</formula>
    </cfRule>
    <cfRule type="cellIs" dxfId="52" priority="53" stopIfTrue="1" operator="between">
      <formula>$I$8</formula>
      <formula>$J$8</formula>
    </cfRule>
    <cfRule type="cellIs" dxfId="51" priority="54" stopIfTrue="1" operator="greaterThanOrEqual">
      <formula>$J$8</formula>
    </cfRule>
  </conditionalFormatting>
  <conditionalFormatting sqref="Y509">
    <cfRule type="cellIs" dxfId="50" priority="49" stopIfTrue="1" operator="lessThanOrEqual">
      <formula>#REF!</formula>
    </cfRule>
    <cfRule type="cellIs" dxfId="49" priority="50" stopIfTrue="1" operator="between">
      <formula>#REF!</formula>
      <formula>#REF!</formula>
    </cfRule>
    <cfRule type="cellIs" dxfId="48" priority="51" stopIfTrue="1" operator="greaterThanOrEqual">
      <formula>#REF!</formula>
    </cfRule>
  </conditionalFormatting>
  <conditionalFormatting sqref="AC509">
    <cfRule type="cellIs" dxfId="47" priority="46" stopIfTrue="1" operator="lessThanOrEqual">
      <formula>$I$8</formula>
    </cfRule>
    <cfRule type="cellIs" dxfId="46" priority="47" stopIfTrue="1" operator="between">
      <formula>$I$8</formula>
      <formula>$J$8</formula>
    </cfRule>
    <cfRule type="cellIs" dxfId="45" priority="48" stopIfTrue="1" operator="greaterThanOrEqual">
      <formula>$J$8</formula>
    </cfRule>
  </conditionalFormatting>
  <conditionalFormatting sqref="AC509">
    <cfRule type="cellIs" dxfId="44" priority="43" stopIfTrue="1" operator="lessThanOrEqual">
      <formula>#REF!</formula>
    </cfRule>
    <cfRule type="cellIs" dxfId="43" priority="44" stopIfTrue="1" operator="between">
      <formula>#REF!</formula>
      <formula>#REF!</formula>
    </cfRule>
    <cfRule type="cellIs" dxfId="42" priority="45" stopIfTrue="1" operator="greaterThanOrEqual">
      <formula>#REF!</formula>
    </cfRule>
  </conditionalFormatting>
  <conditionalFormatting sqref="Y515">
    <cfRule type="cellIs" dxfId="41" priority="40" stopIfTrue="1" operator="lessThanOrEqual">
      <formula>$I$8</formula>
    </cfRule>
    <cfRule type="cellIs" dxfId="40" priority="41" stopIfTrue="1" operator="between">
      <formula>$I$8</formula>
      <formula>$J$8</formula>
    </cfRule>
    <cfRule type="cellIs" dxfId="39" priority="42" stopIfTrue="1" operator="greaterThanOrEqual">
      <formula>$J$8</formula>
    </cfRule>
  </conditionalFormatting>
  <conditionalFormatting sqref="Y515">
    <cfRule type="cellIs" dxfId="38" priority="37" stopIfTrue="1" operator="lessThanOrEqual">
      <formula>#REF!</formula>
    </cfRule>
    <cfRule type="cellIs" dxfId="37" priority="38" stopIfTrue="1" operator="between">
      <formula>#REF!</formula>
      <formula>#REF!</formula>
    </cfRule>
    <cfRule type="cellIs" dxfId="36" priority="39" stopIfTrue="1" operator="greaterThanOrEqual">
      <formula>#REF!</formula>
    </cfRule>
  </conditionalFormatting>
  <conditionalFormatting sqref="AC515">
    <cfRule type="cellIs" dxfId="35" priority="31" stopIfTrue="1" operator="lessThanOrEqual">
      <formula>#REF!</formula>
    </cfRule>
    <cfRule type="cellIs" dxfId="34" priority="32" stopIfTrue="1" operator="between">
      <formula>#REF!</formula>
      <formula>#REF!</formula>
    </cfRule>
    <cfRule type="cellIs" dxfId="33" priority="33" stopIfTrue="1" operator="greaterThanOrEqual">
      <formula>#REF!</formula>
    </cfRule>
  </conditionalFormatting>
  <conditionalFormatting sqref="AC515">
    <cfRule type="cellIs" dxfId="32" priority="34" stopIfTrue="1" operator="lessThanOrEqual">
      <formula>$I$8</formula>
    </cfRule>
    <cfRule type="cellIs" dxfId="31" priority="35" stopIfTrue="1" operator="between">
      <formula>$I$8</formula>
      <formula>$J$8</formula>
    </cfRule>
    <cfRule type="cellIs" dxfId="30" priority="36" stopIfTrue="1" operator="greaterThanOrEqual">
      <formula>$J$8</formula>
    </cfRule>
  </conditionalFormatting>
  <conditionalFormatting sqref="W634 Y634 AA634 AC634">
    <cfRule type="cellIs" dxfId="29" priority="28" stopIfTrue="1" operator="lessThanOrEqual">
      <formula>$I$8</formula>
    </cfRule>
    <cfRule type="cellIs" dxfId="28" priority="29" stopIfTrue="1" operator="between">
      <formula>$I$8</formula>
      <formula>$J$8</formula>
    </cfRule>
    <cfRule type="cellIs" dxfId="27" priority="30" stopIfTrue="1" operator="greaterThanOrEqual">
      <formula>$J$8</formula>
    </cfRule>
  </conditionalFormatting>
  <conditionalFormatting sqref="W634 Y634 AA634 AC634">
    <cfRule type="cellIs" dxfId="26" priority="25" stopIfTrue="1" operator="lessThanOrEqual">
      <formula>#REF!</formula>
    </cfRule>
    <cfRule type="cellIs" dxfId="25" priority="26" stopIfTrue="1" operator="between">
      <formula>#REF!</formula>
      <formula>#REF!</formula>
    </cfRule>
    <cfRule type="cellIs" dxfId="24" priority="27" stopIfTrue="1" operator="greaterThanOrEqual">
      <formula>#REF!</formula>
    </cfRule>
  </conditionalFormatting>
  <conditionalFormatting sqref="V469:Y469">
    <cfRule type="cellIs" dxfId="23" priority="22" stopIfTrue="1" operator="lessThanOrEqual">
      <formula>$I$8</formula>
    </cfRule>
    <cfRule type="cellIs" dxfId="22" priority="23" stopIfTrue="1" operator="between">
      <formula>$I$8</formula>
      <formula>$J$8</formula>
    </cfRule>
    <cfRule type="cellIs" dxfId="21" priority="24" stopIfTrue="1" operator="greaterThanOrEqual">
      <formula>$J$8</formula>
    </cfRule>
  </conditionalFormatting>
  <conditionalFormatting sqref="Z469:AC469">
    <cfRule type="cellIs" dxfId="20" priority="16" stopIfTrue="1" operator="lessThanOrEqual">
      <formula>$I$8</formula>
    </cfRule>
    <cfRule type="cellIs" dxfId="19" priority="17" stopIfTrue="1" operator="between">
      <formula>$I$8</formula>
      <formula>$J$8</formula>
    </cfRule>
    <cfRule type="cellIs" dxfId="18" priority="18" stopIfTrue="1" operator="greaterThanOrEqual">
      <formula>$J$8</formula>
    </cfRule>
  </conditionalFormatting>
  <conditionalFormatting sqref="V469:Y469">
    <cfRule type="cellIs" dxfId="17" priority="19" stopIfTrue="1" operator="lessThanOrEqual">
      <formula>#REF!</formula>
    </cfRule>
    <cfRule type="cellIs" dxfId="16" priority="20" stopIfTrue="1" operator="between">
      <formula>#REF!</formula>
      <formula>#REF!</formula>
    </cfRule>
    <cfRule type="cellIs" dxfId="15" priority="21" stopIfTrue="1" operator="greaterThanOrEqual">
      <formula>#REF!</formula>
    </cfRule>
  </conditionalFormatting>
  <conditionalFormatting sqref="Z469:AC469">
    <cfRule type="cellIs" dxfId="14" priority="13" stopIfTrue="1" operator="lessThanOrEqual">
      <formula>#REF!</formula>
    </cfRule>
    <cfRule type="cellIs" dxfId="13" priority="14" stopIfTrue="1" operator="between">
      <formula>#REF!</formula>
      <formula>#REF!</formula>
    </cfRule>
    <cfRule type="cellIs" dxfId="12" priority="15" stopIfTrue="1" operator="greaterThanOrEqual">
      <formula>#REF!</formula>
    </cfRule>
  </conditionalFormatting>
  <conditionalFormatting sqref="Z224:AC224">
    <cfRule type="cellIs" dxfId="11" priority="10" stopIfTrue="1" operator="lessThanOrEqual">
      <formula>$I$8</formula>
    </cfRule>
    <cfRule type="cellIs" dxfId="10" priority="11" stopIfTrue="1" operator="between">
      <formula>$I$8</formula>
      <formula>$J$8</formula>
    </cfRule>
    <cfRule type="cellIs" dxfId="9" priority="12" stopIfTrue="1" operator="greaterThanOrEqual">
      <formula>$J$8</formula>
    </cfRule>
  </conditionalFormatting>
  <conditionalFormatting sqref="Z224:AC224">
    <cfRule type="cellIs" dxfId="8" priority="7" stopIfTrue="1" operator="lessThanOrEqual">
      <formula>#REF!</formula>
    </cfRule>
    <cfRule type="cellIs" dxfId="7" priority="8" stopIfTrue="1" operator="between">
      <formula>#REF!</formula>
      <formula>#REF!</formula>
    </cfRule>
    <cfRule type="cellIs" dxfId="6" priority="9" stopIfTrue="1" operator="greaterThanOrEqual">
      <formula>#REF!</formula>
    </cfRule>
  </conditionalFormatting>
  <conditionalFormatting sqref="V224:Y224">
    <cfRule type="cellIs" dxfId="5" priority="4" stopIfTrue="1" operator="lessThanOrEqual">
      <formula>$I$8</formula>
    </cfRule>
    <cfRule type="cellIs" dxfId="4" priority="5" stopIfTrue="1" operator="between">
      <formula>$I$8</formula>
      <formula>$J$8</formula>
    </cfRule>
    <cfRule type="cellIs" dxfId="3" priority="6" stopIfTrue="1" operator="greaterThanOrEqual">
      <formula>$J$8</formula>
    </cfRule>
  </conditionalFormatting>
  <conditionalFormatting sqref="V224:Y224">
    <cfRule type="cellIs" dxfId="2" priority="1" stopIfTrue="1" operator="lessThanOrEqual">
      <formula>#REF!</formula>
    </cfRule>
    <cfRule type="cellIs" dxfId="1" priority="2" stopIfTrue="1" operator="between">
      <formula>#REF!</formula>
      <formula>#REF!</formula>
    </cfRule>
    <cfRule type="cellIs" dxfId="0" priority="3" stopIfTrue="1" operator="greaterThanOrEqual">
      <formula>#REF!</formula>
    </cfRule>
  </conditionalFormatting>
  <hyperlinks>
    <hyperlink ref="D16:H16" location="'POA2018 V2'!D307" display="GESTIÓN INTEGRAL DE LA INFORMACIÓN MINERA"/>
    <hyperlink ref="D17:H17" location="'POA2018 V2'!D329" display="ATENCIÓN INTEGRAL Y SERVICIOS A GRUPOS DE INTERÉS"/>
    <hyperlink ref="D19:H19" location="'POA2018 V2'!D365" display="ADQUISICIÓN DE BIENES Y SERVICIOS"/>
    <hyperlink ref="D20:H20" location="'POA2018 V2'!D402" display="ADMINISTRACIÓN DE BIENES Y SERVICIOS"/>
    <hyperlink ref="D21:H21" location="'POA2018 V2'!D445" display="GESTIÓN FINANCIERA"/>
    <hyperlink ref="D22:H22" location="'POA2018 V2'!D479" display="ADMINISTRACIÓN DE TECNOLOGÍAS DE LA INFORMACIÓN"/>
    <hyperlink ref="D23:H23" location="'POA2018 V2'!D531" display="GESTIÓN DEL TALENTO HUMANO"/>
    <hyperlink ref="D24:H24" location="'POA2018 V2'!D589" display="GESTIÓN JURÍDICA"/>
    <hyperlink ref="D25:H25" location="'POA2018 V2'!D626" display="GESTIÓN DOCUMENTAL"/>
    <hyperlink ref="D31:E31" location="Indice!A1" display="INDICE"/>
    <hyperlink ref="D15:H15" location="'POA2018 V2'!D267" display="SEGURIDAD MINERA"/>
    <hyperlink ref="D14:H14" location="'POA2018 V2'!D206" display="GESTIÓN INTEGRAL PARA EL SEGUIMIENTO Y CONTROL A LOS TÍTULOS MINEROS"/>
    <hyperlink ref="D13:H13" location="'POA2018 V2'!D157" display="GENERACIÓN DE TÍTULOS MINEROS"/>
    <hyperlink ref="D12:H12" location="'POA2018 V2'!D141" display="GESTIÓN DE LA INVERSIÓN MINERA"/>
    <hyperlink ref="D11:H11" location="'POA2018 V2'!D104" display="DELIMITACIÓN Y DECLARACIÓN DE ÁREAS Y ZONAS DE INTERÉS"/>
    <hyperlink ref="D8:H8" location="'POA2018 V2'!D52" display="PLANEACIÓN ESTRATÉGICA"/>
    <hyperlink ref="D9:H9" location="'POA2018 V2'!D77" display="GESTIÓN INTEGRAL DE LAS COMUNICACIONES Y RELACIONAMIENTO"/>
    <hyperlink ref="D7:H7" location="'POA2018'!C45" display="PROCESOS ESTRATÉGICOS"/>
    <hyperlink ref="D10:H10" location="'POA2018'!C97" display="PROCESOS MISIONALES"/>
    <hyperlink ref="D18:H18" location="'POA2018'!C358" display="PROCESOS DE APOYO"/>
    <hyperlink ref="D26:H26" location="'POA2018'!C640" display="PROCESOS DE EVALUACIÓN"/>
    <hyperlink ref="D27:H27" location="'POA2018 V2'!D647" display="EVALUACIÓN, CONTROL Y MEJORA"/>
    <hyperlink ref="D70" location="'POA2018'!A1" display="REGRESAR"/>
    <hyperlink ref="D97" location="'POA2018'!A1" display="REGRESAR"/>
    <hyperlink ref="D134" location="'POA2018'!A1" display="REGRESAR"/>
    <hyperlink ref="D150" location="'POA2018'!A1" display="REGRESAR"/>
    <hyperlink ref="D202" location="'POA2018'!A1" display="REGRESAR"/>
    <hyperlink ref="D263" location="'POA2018'!A1" display="REGRESAR"/>
    <hyperlink ref="D309" location="'POA2018'!A1" display="REGRESAR"/>
    <hyperlink ref="D331" location="'POA2018'!A1" display="REGRESAR"/>
    <hyperlink ref="D404" location="'POA2018'!A1" display="REGRESAR"/>
    <hyperlink ref="D545" location="'POA2018'!A1" display="REGRESAR"/>
    <hyperlink ref="D624" location="'POA2018'!A1" display="REGRESAR"/>
    <hyperlink ref="D658" location="'POA2018'!A1" display="REGRESAR"/>
    <hyperlink ref="D679" location="'POA2018'!A1" display="REGRESAR"/>
    <hyperlink ref="D367" location="'POA2018'!A1" display="REGRESAR"/>
    <hyperlink ref="D447" location="'POA2018'!A1" display="REGRESAR"/>
    <hyperlink ref="D481" location="'POA2018'!A1" display="REGRESAR"/>
    <hyperlink ref="I59:I61" r:id="rId1" display="Realizar seguimiento a la ejecución del PAA Ver PAA"/>
    <hyperlink ref="I75:I77" r:id="rId2" display="Realizar eventos de participación ciudadana  a  través de los diferentes canales de comunicación con los que cuenta la Agencia"/>
    <hyperlink ref="I78:I80" r:id="rId3" display="https://www.anm.gov.co/?q=content/plan-anticorrupcion-y-de-atencion-al-ciudadano"/>
    <hyperlink ref="I81:I83" r:id="rId4" display="https://www.anm.gov.co/?q=content/plan-anticorrupcion-y-de-atencion-al-ciudadano"/>
    <hyperlink ref="I123:I125" r:id="rId5" display="Ejecutar el presupuesto asignado, según programación en el SIIF y el Plan Anual de Adquisiciones (PAA). "/>
    <hyperlink ref="I185:I187" r:id="rId6" display="Ejecutar el presupuesto asignado conforme a lo programado en el SIIF y el Plan Anual de adquisiciones "/>
    <hyperlink ref="I424:I426" r:id="rId7" display="Ejecutar el presupuesto asignado conforme a lo programado en el SIIF y el Plan Anual de adquisiciones"/>
    <hyperlink ref="I486:I488" r:id="rId8" display="Desarrollos para modificar, optimizar o automatizar  trámites u otros Procedimientos Administrativos  (OPAS)  de la ANM "/>
    <hyperlink ref="I528:I530" r:id="rId9" display=" Ejecutar el presupuesto asignado conforme a lo programado en el SIIF y el Plan Anual de adquisiciones"/>
    <hyperlink ref="I489:I512" r:id="rId10" display="https://www.anm.gov.co/?q=content/planes-anm"/>
    <hyperlink ref="I663:I665" r:id="rId11" display="https://www.anm.gov.co/sites/default/files/pinar_anm.pdf"/>
    <hyperlink ref="I571:I573" r:id="rId12" display="Medir el % de satisfacción frente al programa de bienestar social Plan de Incentivos Institucionales"/>
    <hyperlink ref="I580:I582" r:id="rId13" display="Medir el % de satisfacción frente al programa institucional de capacitación Ver"/>
    <hyperlink ref="I583:I585" r:id="rId14" display="Medir el % de cumplimiento de la implementación del Sistema de Seguridad y Salud en el Trabajo"/>
    <hyperlink ref="I592:I594" r:id="rId15" display="Dar cumplimiento en términos de ley a los requerimientos de situaciones administrativas"/>
    <hyperlink ref="I595:I597" r:id="rId16" display="https://www.anm.gov.co/sites/default/files/DocumentosAnm/resolucion043defebrero6de2017.pdf"/>
    <hyperlink ref="I613:I615" r:id="rId17" display="Ejecutar el presupuesto asignado al Grupo de Gestión del Talento Humano conforme a lo programado en el SIIF y el Plan Anual de Adquisiciones"/>
    <hyperlink ref="I607:I609" r:id="rId18" display="Realizar campañas de difusión de pedagogía para el conocimiento de la política de paz y reconciliación"/>
  </hyperlinks>
  <pageMargins left="0.7" right="0.7" top="0.75" bottom="0.75" header="0.3" footer="0.3"/>
  <pageSetup orientation="portrait"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POA2018 V4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Mitzi Tatiana Ferro Mojica</dc:creator>
  <cp:lastModifiedBy>Mitzi Tatiana Ferro Mojica</cp:lastModifiedBy>
  <dcterms:created xsi:type="dcterms:W3CDTF">2018-10-04T20:09:02Z</dcterms:created>
  <dcterms:modified xsi:type="dcterms:W3CDTF">2018-10-10T21:12:45Z</dcterms:modified>
</cp:coreProperties>
</file>